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ThisWorkbook" defaultThemeVersion="153222"/>
  <mc:AlternateContent xmlns:mc="http://schemas.openxmlformats.org/markup-compatibility/2006">
    <mc:Choice Requires="x15">
      <x15ac:absPath xmlns:x15ac="http://schemas.microsoft.com/office/spreadsheetml/2010/11/ac" url="C:\Users\robinreid\Dropbox\Livestock Farm Management Guides\December 2015 Updates\"/>
    </mc:Choice>
  </mc:AlternateContent>
  <bookViews>
    <workbookView xWindow="0" yWindow="0" windowWidth="23040" windowHeight="9120"/>
  </bookViews>
  <sheets>
    <sheet name="Notes" sheetId="1" r:id="rId1"/>
    <sheet name="Prices" sheetId="2" r:id="rId2"/>
    <sheet name="Feed" sheetId="4" r:id="rId3"/>
    <sheet name="Cow-Calf" sheetId="3" r:id="rId4"/>
    <sheet name="Backgrounding" sheetId="7" r:id="rId5"/>
    <sheet name="Stocker" sheetId="5" r:id="rId6"/>
    <sheet name="Feedlot" sheetId="6" r:id="rId7"/>
  </sheets>
  <externalReferences>
    <externalReference r:id="rId8"/>
  </externalReferences>
  <definedNames>
    <definedName name="price_selections">Prices!$A$1:$A$3</definedName>
    <definedName name="_xlnm.Print_Area" localSheetId="4">Backgrounding!$A$1:$J$136</definedName>
    <definedName name="_xlnm.Print_Area" localSheetId="3">'Cow-Calf'!$A$1:$J$136</definedName>
    <definedName name="_xlnm.Print_Area" localSheetId="2">Feed!$B$1:$L$30</definedName>
    <definedName name="_xlnm.Print_Area" localSheetId="6">Feedlot!$A$1:$J$134</definedName>
    <definedName name="_xlnm.Print_Area" localSheetId="0">Notes!$B$1:$Q$27</definedName>
    <definedName name="_xlnm.Print_Area" localSheetId="1">Prices!$A$4:$H$22</definedName>
    <definedName name="_xlnm.Print_Area" localSheetId="5">Stocker!$A$1:$J$136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B8" i="3"/>
  <c r="J18" i="6" l="1"/>
  <c r="J21" i="5"/>
  <c r="J21" i="7"/>
  <c r="J19" i="3"/>
  <c r="A8" i="2" l="1"/>
  <c r="A7" i="2"/>
  <c r="A6" i="2"/>
  <c r="G5" i="2"/>
  <c r="A18" i="2"/>
  <c r="C18" i="2"/>
  <c r="E18" i="2"/>
  <c r="A19" i="2"/>
  <c r="C19" i="2"/>
  <c r="E19" i="2"/>
  <c r="A20" i="2"/>
  <c r="C20" i="2"/>
  <c r="E20" i="2"/>
  <c r="A21" i="2"/>
  <c r="C21" i="2"/>
  <c r="E21" i="2"/>
  <c r="A22" i="2"/>
  <c r="C22" i="2"/>
  <c r="E22" i="2"/>
  <c r="A10" i="2"/>
  <c r="C10" i="2"/>
  <c r="E10" i="2"/>
  <c r="A11" i="2"/>
  <c r="C11" i="2"/>
  <c r="E11" i="2"/>
  <c r="A12" i="2"/>
  <c r="C12" i="2"/>
  <c r="E12" i="2"/>
  <c r="A13" i="2"/>
  <c r="C13" i="2"/>
  <c r="E13" i="2"/>
  <c r="A14" i="2"/>
  <c r="C14" i="2"/>
  <c r="E14" i="2"/>
  <c r="A15" i="2"/>
  <c r="C15" i="2"/>
  <c r="E15" i="2"/>
  <c r="A16" i="2"/>
  <c r="C16" i="2"/>
  <c r="E16" i="2"/>
  <c r="E19" i="6" l="1"/>
  <c r="J25" i="6" l="1"/>
  <c r="J24" i="6"/>
  <c r="J23" i="6"/>
  <c r="J22" i="6"/>
  <c r="J21" i="6"/>
  <c r="J20" i="6"/>
  <c r="E22" i="5" l="1"/>
  <c r="J22" i="7" l="1"/>
  <c r="B18" i="3" l="1"/>
  <c r="B128" i="3"/>
  <c r="B100" i="3"/>
  <c r="C11" i="4"/>
  <c r="C12" i="4" l="1"/>
  <c r="I15" i="4"/>
  <c r="C15" i="4"/>
  <c r="J23" i="3" l="1"/>
  <c r="B8" i="6" l="1"/>
  <c r="E22" i="7" l="1"/>
  <c r="B16" i="7"/>
  <c r="E16" i="7"/>
  <c r="B17" i="7"/>
  <c r="E17" i="7"/>
  <c r="E20" i="5"/>
  <c r="J17" i="7" l="1"/>
  <c r="J16" i="7"/>
  <c r="E20" i="7"/>
  <c r="B98" i="6" l="1"/>
  <c r="B99" i="6"/>
  <c r="B100" i="6"/>
  <c r="B102" i="6"/>
  <c r="B103" i="6"/>
  <c r="B104" i="6"/>
  <c r="B106" i="6"/>
  <c r="B100" i="5"/>
  <c r="B101" i="5"/>
  <c r="B102" i="5"/>
  <c r="B103" i="5"/>
  <c r="B105" i="5"/>
  <c r="B106" i="5"/>
  <c r="B107" i="5"/>
  <c r="B109" i="5"/>
  <c r="B99" i="5"/>
  <c r="B100" i="7"/>
  <c r="B101" i="7"/>
  <c r="B102" i="7"/>
  <c r="B103" i="7"/>
  <c r="B105" i="7"/>
  <c r="B106" i="7"/>
  <c r="B107" i="7"/>
  <c r="B109" i="7"/>
  <c r="B99" i="7"/>
  <c r="B101" i="3"/>
  <c r="B102" i="3"/>
  <c r="B103" i="3"/>
  <c r="B104" i="3"/>
  <c r="B106" i="3"/>
  <c r="B107" i="3"/>
  <c r="B108" i="3"/>
  <c r="B110" i="3"/>
  <c r="E116" i="6" l="1"/>
  <c r="B116" i="6"/>
  <c r="E115" i="6"/>
  <c r="B115" i="6"/>
  <c r="B125" i="6"/>
  <c r="B124" i="6"/>
  <c r="B123" i="6"/>
  <c r="B122" i="6"/>
  <c r="B121" i="6"/>
  <c r="B119" i="6"/>
  <c r="E118" i="6"/>
  <c r="B118" i="6"/>
  <c r="E117" i="6"/>
  <c r="B117" i="6"/>
  <c r="J44" i="6"/>
  <c r="J91" i="6" s="1"/>
  <c r="J134" i="6" s="1"/>
  <c r="B127" i="5"/>
  <c r="B126" i="5"/>
  <c r="B125" i="5"/>
  <c r="B124" i="5"/>
  <c r="B123" i="5"/>
  <c r="B121" i="5"/>
  <c r="E120" i="5"/>
  <c r="B120" i="5"/>
  <c r="E119" i="5"/>
  <c r="B119" i="5"/>
  <c r="E118" i="5"/>
  <c r="B118" i="5"/>
  <c r="E117" i="5"/>
  <c r="J45" i="5"/>
  <c r="J92" i="5" s="1"/>
  <c r="J136" i="5" s="1"/>
  <c r="J45" i="7"/>
  <c r="B127" i="7" l="1"/>
  <c r="B126" i="7"/>
  <c r="B125" i="7"/>
  <c r="B124" i="7"/>
  <c r="B123" i="7"/>
  <c r="B121" i="7"/>
  <c r="E120" i="7"/>
  <c r="B120" i="7"/>
  <c r="E119" i="7"/>
  <c r="B119" i="7"/>
  <c r="E118" i="7"/>
  <c r="B118" i="7"/>
  <c r="E117" i="7"/>
  <c r="J92" i="7" l="1"/>
  <c r="J136" i="7" s="1"/>
  <c r="E121" i="3"/>
  <c r="E120" i="3"/>
  <c r="E118" i="3"/>
  <c r="B124" i="3"/>
  <c r="B125" i="3"/>
  <c r="B126" i="3"/>
  <c r="B127" i="3"/>
  <c r="B122" i="3"/>
  <c r="B121" i="3"/>
  <c r="B120" i="3"/>
  <c r="B119" i="3"/>
  <c r="I14" i="4"/>
  <c r="B19" i="5" l="1"/>
  <c r="E19" i="5"/>
  <c r="B108" i="5"/>
  <c r="I23" i="4"/>
  <c r="I10" i="4"/>
  <c r="C25" i="4"/>
  <c r="C10" i="4"/>
  <c r="B101" i="6" l="1"/>
  <c r="B105" i="3"/>
  <c r="B104" i="7"/>
  <c r="E18" i="5"/>
  <c r="B104" i="5"/>
  <c r="B18" i="5"/>
  <c r="E15" i="6"/>
  <c r="E18" i="7"/>
  <c r="E17" i="6" l="1"/>
  <c r="I27" i="4"/>
  <c r="B9" i="6"/>
  <c r="J5" i="6"/>
  <c r="J19" i="6"/>
  <c r="B17" i="6"/>
  <c r="E17" i="5"/>
  <c r="E16" i="5"/>
  <c r="J22" i="5"/>
  <c r="B20" i="5"/>
  <c r="B17" i="5"/>
  <c r="B16" i="5"/>
  <c r="E10" i="5"/>
  <c r="E9" i="5" s="1"/>
  <c r="B9" i="5"/>
  <c r="B105" i="6" l="1"/>
  <c r="J8" i="6"/>
  <c r="J9" i="6"/>
  <c r="J10" i="6" s="1"/>
  <c r="E16" i="6"/>
  <c r="B16" i="6"/>
  <c r="J17" i="6"/>
  <c r="J17" i="5"/>
  <c r="J18" i="5"/>
  <c r="J16" i="5"/>
  <c r="J20" i="5"/>
  <c r="C29" i="4"/>
  <c r="B20" i="7"/>
  <c r="E10" i="7"/>
  <c r="E9" i="7" s="1"/>
  <c r="B9" i="7"/>
  <c r="J20" i="3"/>
  <c r="C14" i="4"/>
  <c r="E17" i="3" l="1"/>
  <c r="B109" i="3"/>
  <c r="B17" i="3"/>
  <c r="B108" i="7"/>
  <c r="E19" i="7"/>
  <c r="B19" i="7"/>
  <c r="J9" i="5"/>
  <c r="J5" i="5"/>
  <c r="J16" i="6"/>
  <c r="J34" i="6"/>
  <c r="J12" i="6"/>
  <c r="J20" i="7"/>
  <c r="J28" i="5" l="1"/>
  <c r="J24" i="5"/>
  <c r="J27" i="5"/>
  <c r="J23" i="5"/>
  <c r="J26" i="5"/>
  <c r="J25" i="5"/>
  <c r="J9" i="7"/>
  <c r="J5" i="7"/>
  <c r="J19" i="7"/>
  <c r="J19" i="5"/>
  <c r="J23" i="7" l="1"/>
  <c r="J26" i="7"/>
  <c r="J24" i="7"/>
  <c r="J27" i="7"/>
  <c r="J25" i="7"/>
  <c r="J28" i="7"/>
  <c r="J29" i="5"/>
  <c r="J37" i="5"/>
  <c r="J39" i="5" l="1"/>
  <c r="J37" i="7"/>
  <c r="J46" i="3"/>
  <c r="J93" i="3" s="1"/>
  <c r="J136" i="3" s="1"/>
  <c r="E18" i="3" l="1"/>
  <c r="E15" i="3"/>
  <c r="E16" i="3"/>
  <c r="E14" i="3"/>
  <c r="J17" i="3" l="1"/>
  <c r="D5" i="2"/>
  <c r="G4" i="2"/>
  <c r="D4" i="2"/>
  <c r="B4" i="2"/>
  <c r="G1" i="5" l="1"/>
  <c r="G1" i="6"/>
  <c r="G1" i="7"/>
  <c r="G1" i="3"/>
  <c r="B9" i="3" l="1"/>
  <c r="B15" i="3" l="1"/>
  <c r="J15" i="3" s="1"/>
  <c r="B14" i="3" l="1"/>
  <c r="J14" i="3" s="1"/>
  <c r="E22" i="3"/>
  <c r="J18" i="3" l="1"/>
  <c r="H9" i="3" l="1"/>
  <c r="J9" i="3" s="1"/>
  <c r="J37" i="3"/>
  <c r="H8" i="3"/>
  <c r="C116" i="6" l="1"/>
  <c r="C115" i="6" l="1"/>
  <c r="C118" i="5"/>
  <c r="C118" i="7"/>
  <c r="B120" i="6"/>
  <c r="B122" i="5"/>
  <c r="B122" i="7"/>
  <c r="B123" i="3"/>
  <c r="B18" i="7"/>
  <c r="J18" i="7" s="1"/>
  <c r="J29" i="7" s="1"/>
  <c r="J39" i="7" s="1"/>
  <c r="B16" i="3"/>
  <c r="J16" i="3" s="1"/>
  <c r="B15" i="6"/>
  <c r="J15" i="6" s="1"/>
  <c r="J26" i="6" s="1"/>
  <c r="C120" i="5"/>
  <c r="C118" i="6"/>
  <c r="C120" i="7"/>
  <c r="C121" i="3"/>
  <c r="C117" i="6"/>
  <c r="C119" i="5"/>
  <c r="C120" i="3"/>
  <c r="C119" i="7"/>
  <c r="E121" i="6" l="1"/>
  <c r="E123" i="5"/>
  <c r="E123" i="7"/>
  <c r="E124" i="3"/>
  <c r="E120" i="6"/>
  <c r="E122" i="5"/>
  <c r="E122" i="7"/>
  <c r="E123" i="3"/>
  <c r="J36" i="6"/>
  <c r="J39" i="6" s="1"/>
  <c r="J38" i="6"/>
  <c r="E122" i="6"/>
  <c r="E124" i="5"/>
  <c r="E124" i="7"/>
  <c r="E125" i="3"/>
  <c r="E119" i="3"/>
  <c r="C119" i="3"/>
  <c r="E128" i="3"/>
  <c r="C128" i="3"/>
  <c r="C124" i="6" l="1"/>
  <c r="C126" i="5"/>
  <c r="C126" i="7"/>
  <c r="C127" i="3"/>
  <c r="C125" i="6"/>
  <c r="C127" i="7"/>
  <c r="C127" i="5"/>
  <c r="C117" i="7"/>
  <c r="C118" i="3"/>
  <c r="C117" i="5"/>
  <c r="E126" i="3"/>
  <c r="E125" i="5"/>
  <c r="E125" i="7"/>
  <c r="E123" i="6"/>
  <c r="B10" i="5"/>
  <c r="J10" i="5" s="1"/>
  <c r="J11" i="5" s="1"/>
  <c r="J13" i="5" s="1"/>
  <c r="B118" i="3"/>
  <c r="J8" i="3"/>
  <c r="J11" i="3" s="1"/>
  <c r="B10" i="7"/>
  <c r="J10" i="7" s="1"/>
  <c r="J11" i="7" s="1"/>
  <c r="J13" i="7" s="1"/>
  <c r="B117" i="5"/>
  <c r="B117" i="7"/>
  <c r="E127" i="5"/>
  <c r="E125" i="6"/>
  <c r="E127" i="7"/>
  <c r="E124" i="6"/>
  <c r="E126" i="5"/>
  <c r="E126" i="7"/>
  <c r="E127" i="3"/>
  <c r="C123" i="6"/>
  <c r="C125" i="5"/>
  <c r="C125" i="7"/>
  <c r="C126" i="3"/>
  <c r="B117" i="3"/>
  <c r="B116" i="5"/>
  <c r="B116" i="7"/>
  <c r="B22" i="3"/>
  <c r="J22" i="3" s="1"/>
  <c r="J29" i="3" s="1"/>
  <c r="J39" i="3" s="1"/>
  <c r="J41" i="5" l="1"/>
  <c r="J42" i="5"/>
  <c r="E116" i="5"/>
  <c r="E116" i="7"/>
  <c r="E117" i="3"/>
  <c r="J41" i="3"/>
  <c r="J42" i="3"/>
  <c r="C116" i="7"/>
  <c r="C116" i="5"/>
  <c r="C117" i="3"/>
  <c r="J41" i="7"/>
  <c r="J42" i="7"/>
  <c r="C120" i="6" l="1"/>
  <c r="C122" i="5"/>
  <c r="C122" i="7"/>
  <c r="C123" i="3"/>
  <c r="C124" i="5"/>
  <c r="C122" i="6"/>
  <c r="C124" i="7"/>
  <c r="C125" i="3"/>
  <c r="C121" i="6"/>
  <c r="C123" i="5"/>
  <c r="C123" i="7"/>
  <c r="C124" i="3"/>
  <c r="E119" i="6"/>
  <c r="E121" i="5"/>
  <c r="E122" i="3"/>
  <c r="E121" i="7"/>
  <c r="C119" i="6" l="1"/>
  <c r="C121" i="5"/>
  <c r="C121" i="7"/>
  <c r="C122" i="3"/>
</calcChain>
</file>

<file path=xl/comments1.xml><?xml version="1.0" encoding="utf-8"?>
<comments xmlns="http://schemas.openxmlformats.org/spreadsheetml/2006/main">
  <authors>
    <author>Glynn Tonsor</author>
  </authors>
  <commentList>
    <comment ref="E8"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H8"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E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H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E12"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 ref="H12"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 ref="C14" authorId="0" shapeId="0">
      <text>
        <r>
          <rPr>
            <b/>
            <sz val="9"/>
            <color indexed="81"/>
            <rFont val="Tahoma"/>
            <family val="2"/>
          </rPr>
          <t>Glynn Tonsor:</t>
        </r>
        <r>
          <rPr>
            <sz val="9"/>
            <color indexed="81"/>
            <rFont val="Tahoma"/>
            <family val="2"/>
          </rPr>
          <t xml:space="preserve">
corn stalks are sometimes reported in DC_GR310 report if we want to tie residue to that value…
</t>
        </r>
      </text>
    </comment>
    <comment ref="C18" authorId="0" shapeId="0">
      <text>
        <r>
          <rPr>
            <b/>
            <sz val="9"/>
            <color indexed="81"/>
            <rFont val="Tahoma"/>
            <family val="2"/>
          </rPr>
          <t>Glynn Tonsor:</t>
        </r>
        <r>
          <rPr>
            <sz val="9"/>
            <color indexed="81"/>
            <rFont val="Tahoma"/>
            <family val="2"/>
          </rPr>
          <t xml:space="preserve">
1. I used KS cattle prices (AuctionWesternKS.xls) from 2012-2014 to derive average steer-heifer and 700-800 to 500-600 lb price adjustments used in our prices tab.  </t>
        </r>
      </text>
    </comment>
  </commentList>
</comments>
</file>

<file path=xl/sharedStrings.xml><?xml version="1.0" encoding="utf-8"?>
<sst xmlns="http://schemas.openxmlformats.org/spreadsheetml/2006/main" count="650" uniqueCount="155">
  <si>
    <t>Revenue</t>
  </si>
  <si>
    <t>Any number that is blue and bolded is an input the user can adjust.</t>
  </si>
  <si>
    <t>Notes/source</t>
  </si>
  <si>
    <t>USDA St. Joseph, MO SJ_GR851 Report (http://www.ams.usda.gov/mnreports/sj_gr851.txt)</t>
  </si>
  <si>
    <t>USDA St. Joseph, MO NW_GR112 Report (http://www.ams.usda.gov/mnreports/nw_gr112.txt)</t>
  </si>
  <si>
    <t>USDA St. Joseph, MO SJ_GR210 Report (http://www.ams.usda.gov/mnreports/sj_gr210.txt)</t>
  </si>
  <si>
    <t>Production Efficiency Information</t>
  </si>
  <si>
    <t>Price</t>
  </si>
  <si>
    <t>Unit</t>
  </si>
  <si>
    <t>lbs</t>
  </si>
  <si>
    <t xml:space="preserve"> x</t>
  </si>
  <si>
    <t xml:space="preserve"> =</t>
  </si>
  <si>
    <t xml:space="preserve">  Gross Income</t>
  </si>
  <si>
    <t>Corn ($/bu)</t>
  </si>
  <si>
    <t>Soybean meal ($/ton)</t>
  </si>
  <si>
    <t>Variable Costs</t>
  </si>
  <si>
    <t>Fixed Costs</t>
  </si>
  <si>
    <t xml:space="preserve">  Total Fixed Costs</t>
  </si>
  <si>
    <t>Total Costs</t>
  </si>
  <si>
    <t xml:space="preserve">  Total Variable Costs</t>
  </si>
  <si>
    <t xml:space="preserve">Income Over Total Costs </t>
  </si>
  <si>
    <t>http://www.usda.gov/oce/commodity/projections/</t>
  </si>
  <si>
    <t>Fed cattle change imposed</t>
  </si>
  <si>
    <t>The Kansas State University cost-return budgets were developed to serve as a barometer of profitability for various livestock industry enterprises.</t>
  </si>
  <si>
    <t xml:space="preserve">These budgets are NOT intended to represent any one operation.  </t>
  </si>
  <si>
    <t>Each individual operation should adjust key inputs to reflect their own situation.</t>
  </si>
  <si>
    <t>hd</t>
  </si>
  <si>
    <t>Qty</t>
  </si>
  <si>
    <t>Last Updated Date:</t>
  </si>
  <si>
    <t>Current Prices</t>
  </si>
  <si>
    <t>Weaning Percentage</t>
  </si>
  <si>
    <t>Total per Year</t>
  </si>
  <si>
    <t>Cull Cows</t>
  </si>
  <si>
    <t>Cow Replacement Percentage</t>
  </si>
  <si>
    <t>Other</t>
  </si>
  <si>
    <t>Pasture</t>
  </si>
  <si>
    <t>Harvested Forage</t>
  </si>
  <si>
    <t>Crop Residue</t>
  </si>
  <si>
    <t>per acre</t>
  </si>
  <si>
    <t>per ton</t>
  </si>
  <si>
    <t>Mineral</t>
  </si>
  <si>
    <t>Grain/Protein Supplements</t>
  </si>
  <si>
    <t>Labor</t>
  </si>
  <si>
    <t>Vet Medicine/Drugs</t>
  </si>
  <si>
    <t>Utilities,Gas, Fuel, Oil</t>
  </si>
  <si>
    <t>Other variable costs</t>
  </si>
  <si>
    <t>Depreciation</t>
  </si>
  <si>
    <t>Income Over Variable Costs</t>
  </si>
  <si>
    <t>per head</t>
  </si>
  <si>
    <t>Current price *1.10</t>
  </si>
  <si>
    <t>Replacement Females</t>
  </si>
  <si>
    <t>Adjust off of Steer Calf price</t>
  </si>
  <si>
    <t>USE deferred CME SB to Adjust off of Current price</t>
  </si>
  <si>
    <t>USE deferred CME C to Adjust off of Current price</t>
  </si>
  <si>
    <t>One Year Out Prices</t>
  </si>
  <si>
    <t>Five Years Out Prices</t>
  </si>
  <si>
    <t xml:space="preserve"> KSU Beef Cow-Calf Budget</t>
  </si>
  <si>
    <t>Adjust off of Corn Price</t>
  </si>
  <si>
    <t>Salt and Mineral</t>
  </si>
  <si>
    <t>per cwt</t>
  </si>
  <si>
    <r>
      <t xml:space="preserve">Kansas State University, Department of Agricultural Economics - </t>
    </r>
    <r>
      <rPr>
        <b/>
        <i/>
        <sz val="12"/>
        <color rgb="FF7030A0"/>
        <rFont val="Calibri"/>
        <family val="2"/>
        <scheme val="minor"/>
      </rPr>
      <t>www.agmanager.info</t>
    </r>
  </si>
  <si>
    <t>Publication: AM-FMG-CowCalf</t>
  </si>
  <si>
    <t>Purchase price</t>
  </si>
  <si>
    <t>Feeder Sale</t>
  </si>
  <si>
    <t>x</t>
  </si>
  <si>
    <t>=</t>
  </si>
  <si>
    <t>Death Loss</t>
  </si>
  <si>
    <t>Marketing costs</t>
  </si>
  <si>
    <t>Average Daily Gain</t>
  </si>
  <si>
    <t>Days on Feed</t>
  </si>
  <si>
    <t>Alfalfa</t>
  </si>
  <si>
    <t>Days in Backgrounding Lot</t>
  </si>
  <si>
    <t>lbs/day</t>
  </si>
  <si>
    <t>Corn</t>
  </si>
  <si>
    <t>DDG's</t>
  </si>
  <si>
    <t>Soybean Meal</t>
  </si>
  <si>
    <t xml:space="preserve">Cow-Calf Feed Requirements </t>
  </si>
  <si>
    <t>(per cow unit + 16% of developing heifer + 4% of bull)</t>
  </si>
  <si>
    <t xml:space="preserve">Stocker Feed Requirements </t>
  </si>
  <si>
    <t>per hour</t>
  </si>
  <si>
    <t>hours</t>
  </si>
  <si>
    <t>Machinery, Facility/Equip. Repairs</t>
  </si>
  <si>
    <t>Opportunity Cost of Investment</t>
  </si>
  <si>
    <t>Farm/Livestock Insurance</t>
  </si>
  <si>
    <t xml:space="preserve"> KSU Beef Stocker Budget</t>
  </si>
  <si>
    <t>Taxes</t>
  </si>
  <si>
    <t>Gross Return</t>
  </si>
  <si>
    <t>Total Gross Return</t>
  </si>
  <si>
    <t xml:space="preserve">(per animal unit) </t>
  </si>
  <si>
    <t>total acres</t>
  </si>
  <si>
    <t>total tons</t>
  </si>
  <si>
    <t>total lbs</t>
  </si>
  <si>
    <t>Hay ($/ton)</t>
  </si>
  <si>
    <t>Alfalfa ($/ton)</t>
  </si>
  <si>
    <t>Pasture Rental ($/acre)</t>
  </si>
  <si>
    <t>Crop Residue ($/acre)</t>
  </si>
  <si>
    <t>Mineral ($/ton)</t>
  </si>
  <si>
    <t>Other fixed costs</t>
  </si>
  <si>
    <t>Weaned Calf Sale</t>
  </si>
  <si>
    <t>Total per Year per Cow</t>
  </si>
  <si>
    <t>Total Grain/Protein Supplements</t>
  </si>
  <si>
    <t>Total Harvested Forage</t>
  </si>
  <si>
    <t>Silage</t>
  </si>
  <si>
    <t>Crop Residue Grazing</t>
  </si>
  <si>
    <t>total acres for feeding period</t>
  </si>
  <si>
    <t>(per animal unit)</t>
  </si>
  <si>
    <t>total acres per year</t>
  </si>
  <si>
    <t>total tons per year</t>
  </si>
  <si>
    <t>total lbs per year</t>
  </si>
  <si>
    <t>Silage ($/ton)</t>
  </si>
  <si>
    <t>CATTLE RATIONS TO SET FEED AND GRAZING COSTS</t>
  </si>
  <si>
    <t>total hours</t>
  </si>
  <si>
    <t>Budget Assumptions</t>
  </si>
  <si>
    <t>Current</t>
  </si>
  <si>
    <t>One Year Out</t>
  </si>
  <si>
    <t>Five Years Out</t>
  </si>
  <si>
    <t>Distillers Grains ($/ton)</t>
  </si>
  <si>
    <t>Heifer Calf Price ($/cwt)</t>
  </si>
  <si>
    <t>Feeder Steers($/cwt)</t>
  </si>
  <si>
    <t>Cull cow($/cwt)</t>
  </si>
  <si>
    <t>Steer Calf Price ($/cwt)</t>
  </si>
  <si>
    <t xml:space="preserve"> KSU Beef Backgrounding Budget</t>
  </si>
  <si>
    <t>Publication: AM-FMG-Backgrounding</t>
  </si>
  <si>
    <t>Feeder Animal Sale</t>
  </si>
  <si>
    <t xml:space="preserve">Backgrounding Feed Requirements </t>
  </si>
  <si>
    <t xml:space="preserve"> KSU Beef Finishing Budget</t>
  </si>
  <si>
    <t>Publication: AM-FMG-Finishing</t>
  </si>
  <si>
    <t>Publication: AM-FMG-Stocker</t>
  </si>
  <si>
    <t>Feeder Steers ($/cwt)</t>
  </si>
  <si>
    <t>5-area Fed Cattle ($/cwt)</t>
  </si>
  <si>
    <t>Fed Animal Sale</t>
  </si>
  <si>
    <t xml:space="preserve">Finishing Feed Requirements </t>
  </si>
  <si>
    <t xml:space="preserve">Click on "Current Prices" to change to "One Year Out Prices " or "Five Years Out Prices"
</t>
  </si>
  <si>
    <t>CWT Produced</t>
  </si>
  <si>
    <t>Annual Bull Charge or A.I.</t>
  </si>
  <si>
    <t>Other Livestock Breeding/Marketing</t>
  </si>
  <si>
    <t>total pounds for feeding period</t>
  </si>
  <si>
    <t>total tons for feeding period</t>
  </si>
  <si>
    <t>Days on Grass</t>
  </si>
  <si>
    <t>Equal to 8X the corn price</t>
  </si>
  <si>
    <t>Prairie/Brome Hay</t>
  </si>
  <si>
    <t>This spreadsheet is brought to you by:</t>
  </si>
  <si>
    <t>AND</t>
  </si>
  <si>
    <t>Prairie Hay ($/ton)</t>
  </si>
  <si>
    <t>Welcome to the Kansas State University Farm Management Guides for Beef Enterprises</t>
  </si>
  <si>
    <t>Default Cow-Calf Prices</t>
  </si>
  <si>
    <t>Default Backgrounding Prices</t>
  </si>
  <si>
    <t>Default Stocker Prices</t>
  </si>
  <si>
    <t>Default Beef Finishing Prices</t>
  </si>
  <si>
    <t>Cash Interest Paid</t>
  </si>
  <si>
    <t>Other Income</t>
  </si>
  <si>
    <t>Other Feed</t>
  </si>
  <si>
    <t>per unit</t>
  </si>
  <si>
    <t>units</t>
  </si>
  <si>
    <t>(as of December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</si>
</sst>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0.0%"/>
    <numFmt numFmtId="166" formatCode="0.000"/>
    <numFmt numFmtId="167" formatCode="mm/dd/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u/>
      <sz val="11"/>
      <color theme="1"/>
      <name val="Calibri"/>
      <family val="2"/>
      <scheme val="minor"/>
    </font>
    <font>
      <b/>
      <sz val="11"/>
      <color rgb="FFFF0000"/>
      <name val="Calibri"/>
      <family val="2"/>
      <scheme val="minor"/>
    </font>
    <font>
      <b/>
      <i/>
      <sz val="11"/>
      <color rgb="FF7030A0"/>
      <name val="Calibri"/>
      <family val="2"/>
      <scheme val="minor"/>
    </font>
    <font>
      <b/>
      <sz val="11"/>
      <color rgb="FF7030A0"/>
      <name val="Calibri"/>
      <family val="2"/>
      <scheme val="minor"/>
    </font>
    <font>
      <b/>
      <sz val="14"/>
      <color rgb="FF7030A0"/>
      <name val="Calibri"/>
      <family val="2"/>
      <scheme val="minor"/>
    </font>
    <font>
      <u/>
      <sz val="11"/>
      <color theme="10"/>
      <name val="Calibri"/>
      <family val="2"/>
      <scheme val="minor"/>
    </font>
    <font>
      <b/>
      <sz val="11"/>
      <name val="Calibri"/>
      <family val="2"/>
      <scheme val="minor"/>
    </font>
    <font>
      <b/>
      <sz val="12"/>
      <color rgb="FF7030A0"/>
      <name val="Calibri"/>
      <family val="2"/>
      <scheme val="minor"/>
    </font>
    <font>
      <b/>
      <i/>
      <sz val="12"/>
      <color rgb="FF7030A0"/>
      <name val="Calibri"/>
      <family val="2"/>
      <scheme val="minor"/>
    </font>
    <font>
      <b/>
      <sz val="22"/>
      <color theme="1"/>
      <name val="Calibri"/>
      <family val="2"/>
      <scheme val="minor"/>
    </font>
    <font>
      <sz val="11"/>
      <color theme="0"/>
      <name val="Calibri"/>
      <family val="2"/>
      <scheme val="minor"/>
    </font>
    <font>
      <b/>
      <sz val="11"/>
      <color rgb="FF000000"/>
      <name val="Calibri"/>
      <family val="2"/>
    </font>
    <font>
      <sz val="14"/>
      <color theme="1"/>
      <name val="Calibri"/>
      <family val="2"/>
      <scheme val="minor"/>
    </font>
    <font>
      <b/>
      <sz val="14"/>
      <name val="Calibri"/>
      <family val="2"/>
      <scheme val="minor"/>
    </font>
    <font>
      <b/>
      <sz val="22"/>
      <color theme="0"/>
      <name val="Calibri"/>
      <family val="2"/>
      <scheme val="minor"/>
    </font>
    <font>
      <sz val="11"/>
      <color rgb="FF0070C0"/>
      <name val="Calibri"/>
      <family val="2"/>
      <scheme val="minor"/>
    </font>
    <font>
      <sz val="11"/>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499984740745262"/>
        <bgColor indexed="64"/>
      </patternFill>
    </fill>
    <fill>
      <patternFill patternType="solid">
        <fgColor rgb="FF7030A0"/>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166">
    <xf numFmtId="0" fontId="0" fillId="0" borderId="0" xfId="0"/>
    <xf numFmtId="0" fontId="4" fillId="0" borderId="0" xfId="0" applyFont="1" applyAlignment="1">
      <alignment horizontal="center"/>
    </xf>
    <xf numFmtId="44" fontId="4" fillId="0" borderId="0" xfId="1" applyFont="1" applyAlignment="1">
      <alignment horizontal="center"/>
    </xf>
    <xf numFmtId="0" fontId="2" fillId="0" borderId="0" xfId="0" applyFont="1"/>
    <xf numFmtId="164" fontId="4" fillId="0" borderId="0" xfId="0" applyNumberFormat="1" applyFont="1" applyAlignment="1">
      <alignment horizontal="center"/>
    </xf>
    <xf numFmtId="44" fontId="0" fillId="0" borderId="0" xfId="0" applyNumberFormat="1"/>
    <xf numFmtId="2" fontId="0" fillId="0" borderId="0" xfId="0" applyNumberFormat="1"/>
    <xf numFmtId="0" fontId="7" fillId="0" borderId="0" xfId="0" applyFont="1"/>
    <xf numFmtId="2" fontId="7" fillId="0" borderId="0" xfId="0" applyNumberFormat="1" applyFont="1"/>
    <xf numFmtId="0" fontId="8" fillId="0" borderId="0" xfId="0" applyFont="1"/>
    <xf numFmtId="44" fontId="2" fillId="0" borderId="0" xfId="0" applyNumberFormat="1" applyFont="1"/>
    <xf numFmtId="44" fontId="3" fillId="0" borderId="0" xfId="1" applyFont="1" applyAlignment="1">
      <alignment horizontal="center"/>
    </xf>
    <xf numFmtId="0" fontId="9" fillId="0" borderId="0" xfId="0" applyFont="1"/>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wrapText="1"/>
    </xf>
    <xf numFmtId="44" fontId="2" fillId="0" borderId="1" xfId="0" applyNumberFormat="1" applyFont="1" applyBorder="1"/>
    <xf numFmtId="44" fontId="2" fillId="0" borderId="0" xfId="0" applyNumberFormat="1" applyFont="1" applyBorder="1"/>
    <xf numFmtId="0" fontId="8" fillId="0" borderId="1" xfId="0" applyFont="1" applyBorder="1"/>
    <xf numFmtId="0" fontId="0" fillId="2" borderId="0" xfId="0" applyFill="1"/>
    <xf numFmtId="0" fontId="11" fillId="0" borderId="0" xfId="0" applyFont="1" applyFill="1" applyAlignment="1">
      <alignment horizontal="right"/>
    </xf>
    <xf numFmtId="0" fontId="12" fillId="0" borderId="0" xfId="0" applyFont="1" applyFill="1"/>
    <xf numFmtId="0" fontId="0" fillId="0" borderId="0" xfId="0" applyFill="1"/>
    <xf numFmtId="0" fontId="0" fillId="0" borderId="0" xfId="0" applyFill="1" applyAlignment="1">
      <alignment horizontal="center"/>
    </xf>
    <xf numFmtId="44" fontId="2" fillId="0" borderId="2" xfId="0" applyNumberFormat="1" applyFont="1" applyBorder="1"/>
    <xf numFmtId="0" fontId="2" fillId="2" borderId="0" xfId="0" applyFont="1" applyFill="1"/>
    <xf numFmtId="0" fontId="0" fillId="3" borderId="0" xfId="0" applyFill="1"/>
    <xf numFmtId="0" fontId="2" fillId="3" borderId="0" xfId="0" applyFont="1" applyFill="1"/>
    <xf numFmtId="0" fontId="0" fillId="0" borderId="0" xfId="0" applyAlignment="1">
      <alignment horizontal="left"/>
    </xf>
    <xf numFmtId="2" fontId="4" fillId="0" borderId="0" xfId="0" applyNumberFormat="1" applyFont="1" applyAlignment="1">
      <alignment horizontal="center"/>
    </xf>
    <xf numFmtId="0" fontId="2" fillId="0" borderId="0" xfId="0" applyFont="1" applyBorder="1"/>
    <xf numFmtId="0" fontId="0" fillId="0" borderId="0" xfId="0" applyBorder="1"/>
    <xf numFmtId="0" fontId="0" fillId="0" borderId="0" xfId="0" applyBorder="1" applyAlignment="1">
      <alignment horizontal="center"/>
    </xf>
    <xf numFmtId="1" fontId="4" fillId="0" borderId="0" xfId="0" applyNumberFormat="1" applyFont="1" applyAlignment="1">
      <alignment horizontal="center"/>
    </xf>
    <xf numFmtId="0" fontId="16" fillId="2" borderId="1" xfId="0" applyFont="1" applyFill="1" applyBorder="1" applyAlignment="1">
      <alignment horizontal="left"/>
    </xf>
    <xf numFmtId="0" fontId="2" fillId="4" borderId="0" xfId="0" applyFont="1" applyFill="1"/>
    <xf numFmtId="0" fontId="0" fillId="4" borderId="0" xfId="0" applyFill="1"/>
    <xf numFmtId="0" fontId="14" fillId="4" borderId="0" xfId="2" applyFill="1"/>
    <xf numFmtId="17" fontId="0" fillId="0" borderId="0" xfId="0" applyNumberFormat="1"/>
    <xf numFmtId="0" fontId="7" fillId="0" borderId="1" xfId="0" applyFont="1" applyBorder="1"/>
    <xf numFmtId="164" fontId="4"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0" fontId="0" fillId="0" borderId="0" xfId="0" applyAlignment="1">
      <alignment horizontal="center"/>
    </xf>
    <xf numFmtId="1" fontId="3" fillId="0" borderId="0" xfId="0" applyNumberFormat="1" applyFont="1" applyAlignment="1">
      <alignment horizontal="center"/>
    </xf>
    <xf numFmtId="0" fontId="4" fillId="0" borderId="0" xfId="0" applyFont="1"/>
    <xf numFmtId="0" fontId="0" fillId="0" borderId="0" xfId="0" applyAlignment="1">
      <alignment horizontal="right"/>
    </xf>
    <xf numFmtId="0" fontId="2" fillId="0" borderId="0" xfId="0" applyFont="1" applyBorder="1" applyAlignment="1">
      <alignment horizontal="center" vertical="center" wrapText="1"/>
    </xf>
    <xf numFmtId="164" fontId="3" fillId="0" borderId="0" xfId="0" applyNumberFormat="1" applyFont="1" applyAlignment="1">
      <alignment horizontal="center"/>
    </xf>
    <xf numFmtId="0" fontId="0" fillId="0" borderId="4" xfId="0" applyBorder="1"/>
    <xf numFmtId="0" fontId="2" fillId="5" borderId="4" xfId="0" applyFont="1" applyFill="1" applyBorder="1"/>
    <xf numFmtId="164" fontId="4" fillId="0" borderId="0" xfId="0" applyNumberFormat="1" applyFont="1"/>
    <xf numFmtId="1" fontId="0" fillId="0" borderId="0" xfId="0" applyNumberFormat="1"/>
    <xf numFmtId="0" fontId="0" fillId="0" borderId="0" xfId="0" applyFill="1" applyBorder="1"/>
    <xf numFmtId="0" fontId="0" fillId="0" borderId="1" xfId="0" applyFill="1" applyBorder="1"/>
    <xf numFmtId="0" fontId="0" fillId="0" borderId="3" xfId="0" applyBorder="1" applyAlignment="1">
      <alignment horizontal="center"/>
    </xf>
    <xf numFmtId="0" fontId="8" fillId="0" borderId="3" xfId="0" applyFont="1" applyBorder="1"/>
    <xf numFmtId="0" fontId="0" fillId="0" borderId="3" xfId="0" applyBorder="1"/>
    <xf numFmtId="44" fontId="2" fillId="0" borderId="3" xfId="0" applyNumberFormat="1" applyFont="1" applyBorder="1"/>
    <xf numFmtId="0" fontId="0" fillId="0" borderId="0" xfId="0" applyAlignment="1">
      <alignment horizontal="center"/>
    </xf>
    <xf numFmtId="2" fontId="3" fillId="0" borderId="0" xfId="0" applyNumberFormat="1" applyFont="1" applyAlignment="1">
      <alignment horizontal="center"/>
    </xf>
    <xf numFmtId="0" fontId="0" fillId="0" borderId="0" xfId="0" applyBorder="1" applyAlignment="1">
      <alignment horizontal="center"/>
    </xf>
    <xf numFmtId="0" fontId="2" fillId="0" borderId="5" xfId="0" applyFont="1" applyBorder="1"/>
    <xf numFmtId="44" fontId="0" fillId="0" borderId="0" xfId="0" applyNumberFormat="1" applyBorder="1"/>
    <xf numFmtId="0" fontId="2" fillId="0" borderId="5" xfId="0" applyFont="1" applyBorder="1" applyAlignment="1">
      <alignment horizontal="center" vertical="center" wrapText="1"/>
    </xf>
    <xf numFmtId="44" fontId="0" fillId="0" borderId="0" xfId="0" applyNumberFormat="1" applyBorder="1" applyAlignment="1">
      <alignment horizontal="center"/>
    </xf>
    <xf numFmtId="0" fontId="16" fillId="0" borderId="0" xfId="0" applyFont="1" applyFill="1" applyBorder="1" applyAlignment="1">
      <alignment horizontal="left"/>
    </xf>
    <xf numFmtId="0" fontId="16" fillId="0" borderId="0" xfId="0" applyFont="1"/>
    <xf numFmtId="44" fontId="0" fillId="0" borderId="0" xfId="0" applyNumberFormat="1" applyBorder="1" applyAlignment="1">
      <alignment horizontal="center"/>
    </xf>
    <xf numFmtId="0" fontId="0" fillId="0" borderId="0" xfId="0" applyBorder="1" applyAlignment="1">
      <alignment horizontal="center"/>
    </xf>
    <xf numFmtId="0" fontId="2" fillId="0" borderId="5" xfId="0" applyFont="1" applyBorder="1" applyAlignment="1">
      <alignment horizontal="center" vertical="center" wrapText="1"/>
    </xf>
    <xf numFmtId="0" fontId="0" fillId="0" borderId="0" xfId="0" applyAlignment="1">
      <alignment horizontal="center"/>
    </xf>
    <xf numFmtId="166" fontId="3" fillId="0" borderId="0" xfId="0" applyNumberFormat="1" applyFont="1" applyAlignment="1">
      <alignment horizontal="center"/>
    </xf>
    <xf numFmtId="166" fontId="4" fillId="0" borderId="0" xfId="0" applyNumberFormat="1" applyFont="1" applyAlignment="1">
      <alignment horizontal="center"/>
    </xf>
    <xf numFmtId="0" fontId="10" fillId="0" borderId="0" xfId="0" applyFont="1" applyFill="1"/>
    <xf numFmtId="0" fontId="19" fillId="6" borderId="0" xfId="0" applyFont="1" applyFill="1" applyAlignment="1"/>
    <xf numFmtId="0" fontId="19" fillId="6" borderId="0" xfId="0" applyFont="1" applyFill="1"/>
    <xf numFmtId="0" fontId="13" fillId="0" borderId="0" xfId="0" applyFont="1" applyFill="1" applyBorder="1" applyAlignment="1">
      <alignment horizontal="center" vertical="center" wrapText="1"/>
    </xf>
    <xf numFmtId="166" fontId="0" fillId="0" borderId="0" xfId="0" applyNumberFormat="1"/>
    <xf numFmtId="0" fontId="2" fillId="5" borderId="6" xfId="0" applyFont="1" applyFill="1" applyBorder="1"/>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9" xfId="0" applyBorder="1"/>
    <xf numFmtId="0" fontId="7" fillId="0" borderId="0" xfId="0" applyFont="1" applyBorder="1"/>
    <xf numFmtId="0" fontId="0" fillId="0" borderId="9" xfId="0" applyBorder="1" applyAlignment="1">
      <alignment horizontal="right"/>
    </xf>
    <xf numFmtId="2" fontId="3" fillId="0" borderId="0" xfId="0" applyNumberFormat="1" applyFont="1" applyBorder="1" applyAlignment="1">
      <alignment horizontal="center"/>
    </xf>
    <xf numFmtId="0" fontId="0" fillId="0" borderId="11" xfId="0" applyBorder="1"/>
    <xf numFmtId="0" fontId="7" fillId="0" borderId="4" xfId="0" applyFont="1" applyBorder="1"/>
    <xf numFmtId="0" fontId="0" fillId="0" borderId="12" xfId="0" applyBorder="1"/>
    <xf numFmtId="0" fontId="0" fillId="0" borderId="13" xfId="0" applyBorder="1"/>
    <xf numFmtId="44" fontId="0" fillId="0" borderId="0" xfId="0" applyNumberFormat="1" applyFill="1"/>
    <xf numFmtId="0" fontId="3" fillId="4" borderId="0" xfId="0" applyFont="1" applyFill="1"/>
    <xf numFmtId="0" fontId="21" fillId="0" borderId="0" xfId="0" applyFont="1"/>
    <xf numFmtId="0" fontId="23" fillId="7" borderId="0" xfId="0" applyFont="1" applyFill="1"/>
    <xf numFmtId="0" fontId="19" fillId="7" borderId="0" xfId="0" applyFont="1" applyFill="1"/>
    <xf numFmtId="0" fontId="0" fillId="7" borderId="0" xfId="0" applyFill="1"/>
    <xf numFmtId="164" fontId="3" fillId="0" borderId="0" xfId="0" applyNumberFormat="1" applyFont="1" applyBorder="1" applyAlignment="1">
      <alignment horizontal="center"/>
    </xf>
    <xf numFmtId="0" fontId="2" fillId="5" borderId="14" xfId="0" applyFont="1" applyFill="1" applyBorder="1"/>
    <xf numFmtId="0" fontId="0" fillId="0" borderId="15" xfId="0" applyBorder="1"/>
    <xf numFmtId="0" fontId="15" fillId="2" borderId="0" xfId="0" applyFont="1" applyFill="1"/>
    <xf numFmtId="0" fontId="15" fillId="4" borderId="0" xfId="0" applyFont="1" applyFill="1"/>
    <xf numFmtId="0" fontId="0" fillId="0" borderId="0" xfId="0" applyAlignment="1">
      <alignment horizontal="center"/>
    </xf>
    <xf numFmtId="44" fontId="4" fillId="2" borderId="0" xfId="1" applyFont="1" applyFill="1" applyAlignment="1" applyProtection="1">
      <alignment horizontal="center"/>
      <protection locked="0"/>
    </xf>
    <xf numFmtId="44" fontId="4" fillId="3" borderId="0" xfId="1" applyFont="1" applyFill="1" applyAlignment="1" applyProtection="1">
      <alignment horizontal="center"/>
      <protection locked="0"/>
    </xf>
    <xf numFmtId="44" fontId="4" fillId="4" borderId="0" xfId="1" applyFont="1" applyFill="1" applyAlignment="1" applyProtection="1">
      <alignment horizontal="center"/>
      <protection locked="0"/>
    </xf>
    <xf numFmtId="0" fontId="0" fillId="2" borderId="0" xfId="0" applyFill="1" applyProtection="1">
      <protection locked="0"/>
    </xf>
    <xf numFmtId="0" fontId="0" fillId="3" borderId="0" xfId="0" applyFill="1" applyProtection="1">
      <protection locked="0"/>
    </xf>
    <xf numFmtId="0" fontId="0" fillId="0" borderId="0" xfId="0" applyProtection="1">
      <protection locked="0"/>
    </xf>
    <xf numFmtId="0" fontId="4" fillId="3" borderId="0" xfId="0" applyFont="1" applyFill="1" applyProtection="1">
      <protection locked="0"/>
    </xf>
    <xf numFmtId="0" fontId="4" fillId="0" borderId="0" xfId="0" applyFont="1" applyProtection="1">
      <protection locked="0"/>
    </xf>
    <xf numFmtId="44" fontId="4" fillId="0" borderId="0" xfId="1" applyFont="1" applyFill="1" applyAlignment="1" applyProtection="1">
      <alignment horizontal="center"/>
      <protection locked="0"/>
    </xf>
    <xf numFmtId="0" fontId="0" fillId="0" borderId="0" xfId="0" applyFill="1" applyProtection="1">
      <protection locked="0"/>
    </xf>
    <xf numFmtId="0" fontId="3" fillId="2" borderId="0" xfId="0" applyFont="1" applyFill="1" applyProtection="1">
      <protection locked="0"/>
    </xf>
    <xf numFmtId="0" fontId="3" fillId="3" borderId="0" xfId="0" applyFont="1" applyFill="1" applyProtection="1">
      <protection locked="0"/>
    </xf>
    <xf numFmtId="0" fontId="14" fillId="2" borderId="0" xfId="2" applyFill="1" applyProtection="1">
      <protection locked="0"/>
    </xf>
    <xf numFmtId="0" fontId="24" fillId="3" borderId="0" xfId="0" applyFont="1" applyFill="1" applyProtection="1">
      <protection locked="0"/>
    </xf>
    <xf numFmtId="0" fontId="24" fillId="0" borderId="0" xfId="0" applyFont="1" applyProtection="1">
      <protection locked="0"/>
    </xf>
    <xf numFmtId="0" fontId="24" fillId="2" borderId="0" xfId="0" applyFont="1" applyFill="1" applyProtection="1">
      <protection locked="0"/>
    </xf>
    <xf numFmtId="164" fontId="4"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6" fontId="4" fillId="0" borderId="4" xfId="0" applyNumberFormat="1" applyFont="1" applyBorder="1" applyAlignment="1" applyProtection="1">
      <alignment horizontal="center"/>
      <protection locked="0"/>
    </xf>
    <xf numFmtId="2" fontId="4" fillId="0" borderId="4" xfId="0" applyNumberFormat="1" applyFont="1" applyBorder="1" applyAlignment="1" applyProtection="1">
      <alignment horizontal="center"/>
      <protection locked="0"/>
    </xf>
    <xf numFmtId="166" fontId="4" fillId="0" borderId="0"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44" fontId="4" fillId="0" borderId="0" xfId="1" applyFont="1" applyAlignment="1" applyProtection="1">
      <alignment horizontal="center"/>
      <protection locked="0"/>
    </xf>
    <xf numFmtId="1"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44" fontId="4" fillId="0" borderId="1" xfId="1" applyFont="1" applyBorder="1" applyAlignment="1" applyProtection="1">
      <alignment horizontal="center"/>
      <protection locked="0"/>
    </xf>
    <xf numFmtId="44" fontId="4" fillId="0" borderId="0" xfId="1" applyFont="1" applyBorder="1" applyAlignment="1" applyProtection="1">
      <alignment horizontal="center"/>
      <protection locked="0"/>
    </xf>
    <xf numFmtId="2" fontId="4" fillId="0" borderId="0" xfId="0" applyNumberFormat="1" applyFont="1" applyProtection="1">
      <protection locked="0"/>
    </xf>
    <xf numFmtId="164" fontId="4" fillId="0" borderId="0" xfId="0" applyNumberFormat="1" applyFont="1" applyProtection="1">
      <protection locked="0"/>
    </xf>
    <xf numFmtId="0" fontId="0" fillId="0" borderId="0" xfId="0" applyAlignment="1">
      <alignment horizontal="center"/>
    </xf>
    <xf numFmtId="0" fontId="0" fillId="0" borderId="0" xfId="0" applyAlignment="1">
      <alignment horizontal="center"/>
    </xf>
    <xf numFmtId="44" fontId="3" fillId="0" borderId="0" xfId="1" applyFont="1" applyAlignment="1" applyProtection="1">
      <alignment horizontal="center"/>
    </xf>
    <xf numFmtId="44" fontId="1" fillId="0" borderId="0" xfId="1" applyFont="1" applyAlignment="1" applyProtection="1">
      <alignment horizontal="center"/>
    </xf>
    <xf numFmtId="1" fontId="3" fillId="0" borderId="0" xfId="0" applyNumberFormat="1" applyFont="1" applyAlignment="1" applyProtection="1">
      <alignment horizontal="center"/>
    </xf>
    <xf numFmtId="44" fontId="4" fillId="0" borderId="0" xfId="0" applyNumberFormat="1" applyFont="1" applyFill="1" applyProtection="1">
      <protection locked="0"/>
    </xf>
    <xf numFmtId="44" fontId="4" fillId="0" borderId="1" xfId="0" applyNumberFormat="1" applyFont="1" applyFill="1" applyBorder="1" applyProtection="1">
      <protection locked="0"/>
    </xf>
    <xf numFmtId="44" fontId="3" fillId="0" borderId="0" xfId="0" applyNumberFormat="1" applyFont="1" applyProtection="1"/>
    <xf numFmtId="0" fontId="25" fillId="0" borderId="0" xfId="0" applyFont="1" applyFill="1" applyProtection="1">
      <protection locked="0"/>
    </xf>
    <xf numFmtId="44" fontId="10" fillId="0" borderId="0" xfId="1" applyFont="1" applyFill="1" applyAlignment="1" applyProtection="1">
      <alignment horizontal="center"/>
      <protection locked="0"/>
    </xf>
    <xf numFmtId="167" fontId="22" fillId="0" borderId="0" xfId="1" applyNumberFormat="1" applyFont="1" applyAlignment="1">
      <alignment horizontal="left"/>
    </xf>
    <xf numFmtId="0" fontId="18" fillId="0" borderId="0" xfId="0" applyFont="1" applyAlignment="1">
      <alignment horizontal="center"/>
    </xf>
    <xf numFmtId="0" fontId="16" fillId="2" borderId="3" xfId="0" applyFont="1" applyFill="1" applyBorder="1" applyAlignment="1">
      <alignment horizontal="left" vertical="center" wrapText="1"/>
    </xf>
    <xf numFmtId="0" fontId="0" fillId="0" borderId="3" xfId="0" applyBorder="1" applyAlignment="1">
      <alignment horizontal="left"/>
    </xf>
    <xf numFmtId="0" fontId="13" fillId="2" borderId="1" xfId="0" applyFont="1" applyFill="1" applyBorder="1" applyAlignment="1">
      <alignment horizontal="left" vertical="center" wrapText="1"/>
    </xf>
    <xf numFmtId="0" fontId="0" fillId="0" borderId="1" xfId="0"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167" fontId="13" fillId="2" borderId="1" xfId="0" applyNumberFormat="1" applyFont="1" applyFill="1" applyBorder="1" applyAlignment="1">
      <alignment horizontal="center" vertical="center" wrapText="1"/>
    </xf>
    <xf numFmtId="0" fontId="13" fillId="2" borderId="4" xfId="0" applyFont="1" applyFill="1" applyBorder="1" applyAlignment="1">
      <alignment horizontal="left" vertical="center" wrapText="1"/>
    </xf>
    <xf numFmtId="0" fontId="0" fillId="0" borderId="4" xfId="0" applyBorder="1" applyAlignment="1">
      <alignment horizontal="left" vertical="center" wrapText="1"/>
    </xf>
    <xf numFmtId="0" fontId="13" fillId="2" borderId="4" xfId="0" applyFont="1" applyFill="1" applyBorder="1" applyAlignment="1">
      <alignment horizontal="right"/>
    </xf>
    <xf numFmtId="0" fontId="13" fillId="2" borderId="4" xfId="0" applyFont="1" applyFill="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0" xfId="0" applyAlignment="1">
      <alignment horizontal="center"/>
    </xf>
    <xf numFmtId="0" fontId="13" fillId="2" borderId="1" xfId="0" applyFont="1" applyFill="1" applyBorder="1" applyAlignment="1">
      <alignment horizontal="center" vertical="center" wrapText="1"/>
    </xf>
    <xf numFmtId="0" fontId="0" fillId="0" borderId="0" xfId="0" applyAlignment="1">
      <alignment horizontal="right"/>
    </xf>
    <xf numFmtId="44" fontId="0" fillId="0" borderId="3" xfId="0" applyNumberForma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96633"/>
      <color rgb="FFFF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609599</xdr:colOff>
      <xdr:row>8</xdr:row>
      <xdr:rowOff>190499</xdr:rowOff>
    </xdr:from>
    <xdr:to>
      <xdr:col>7</xdr:col>
      <xdr:colOff>200024</xdr:colOff>
      <xdr:row>14</xdr:row>
      <xdr:rowOff>552449</xdr:rowOff>
    </xdr:to>
    <xdr:sp macro="" textlink="">
      <xdr:nvSpPr>
        <xdr:cNvPr id="3" name="TextBox 2"/>
        <xdr:cNvSpPr txBox="1"/>
      </xdr:nvSpPr>
      <xdr:spPr>
        <a:xfrm>
          <a:off x="609599" y="1933574"/>
          <a:ext cx="479107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K-State Agricultural Economics</a:t>
          </a:r>
          <a:r>
            <a:rPr lang="en-US" sz="1100" baseline="0">
              <a:solidFill>
                <a:schemeClr val="dk1"/>
              </a:solidFill>
              <a:effectLst/>
              <a:latin typeface="+mn-lt"/>
              <a:ea typeface="+mn-ea"/>
              <a:cs typeface="+mn-cs"/>
            </a:rPr>
            <a:t> Department: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Glynn</a:t>
          </a:r>
          <a:r>
            <a:rPr lang="en-US" sz="1100" baseline="0">
              <a:solidFill>
                <a:schemeClr val="dk1"/>
              </a:solidFill>
              <a:effectLst/>
              <a:latin typeface="+mn-lt"/>
              <a:ea typeface="+mn-ea"/>
              <a:cs typeface="+mn-cs"/>
            </a:rPr>
            <a:t> Tonsor	                  	Robin Reid</a:t>
          </a:r>
        </a:p>
        <a:p>
          <a:r>
            <a:rPr lang="en-US" sz="1100">
              <a:solidFill>
                <a:schemeClr val="dk1"/>
              </a:solidFill>
              <a:effectLst/>
              <a:latin typeface="+mn-lt"/>
              <a:ea typeface="+mn-ea"/>
              <a:cs typeface="+mn-cs"/>
            </a:rPr>
            <a:t>Associate Professor</a:t>
          </a:r>
          <a:r>
            <a:rPr lang="en-US" sz="1100" baseline="0">
              <a:solidFill>
                <a:schemeClr val="dk1"/>
              </a:solidFill>
              <a:effectLst/>
              <a:latin typeface="+mn-lt"/>
              <a:ea typeface="+mn-ea"/>
              <a:cs typeface="+mn-cs"/>
            </a:rPr>
            <a:t>            	Extension Assoicate</a:t>
          </a:r>
          <a:endParaRPr lang="en-US">
            <a:effectLst/>
          </a:endParaRPr>
        </a:p>
        <a:p>
          <a:pPr eaLnBrk="1" fontAlgn="auto" latinLnBrk="0" hangingPunct="1"/>
          <a:r>
            <a:rPr lang="en-US" sz="1100">
              <a:solidFill>
                <a:schemeClr val="dk1"/>
              </a:solidFill>
              <a:effectLst/>
              <a:latin typeface="+mn-lt"/>
              <a:ea typeface="+mn-ea"/>
              <a:cs typeface="+mn-cs"/>
            </a:rPr>
            <a:t>Livestock &amp;</a:t>
          </a:r>
          <a:r>
            <a:rPr lang="en-US" sz="1100" baseline="0">
              <a:solidFill>
                <a:schemeClr val="dk1"/>
              </a:solidFill>
              <a:effectLst/>
              <a:latin typeface="+mn-lt"/>
              <a:ea typeface="+mn-ea"/>
              <a:cs typeface="+mn-cs"/>
            </a:rPr>
            <a:t> Meat Marketing	</a:t>
          </a:r>
          <a:r>
            <a:rPr lang="en-US" sz="1100">
              <a:solidFill>
                <a:schemeClr val="dk1"/>
              </a:solidFill>
              <a:effectLst/>
              <a:latin typeface="+mn-lt"/>
              <a:ea typeface="+mn-ea"/>
              <a:cs typeface="+mn-cs"/>
            </a:rPr>
            <a:t>Farm Management</a:t>
          </a:r>
          <a:endParaRPr lang="en-US">
            <a:effectLst/>
          </a:endParaRPr>
        </a:p>
        <a:p>
          <a:r>
            <a:rPr lang="en-US" sz="1100"/>
            <a:t>(785)-532-1518	</a:t>
          </a:r>
          <a:r>
            <a:rPr lang="en-US" sz="1100" baseline="0"/>
            <a:t>                   	(785)-532-0964</a:t>
          </a:r>
          <a:endParaRPr lang="en-US" sz="1100"/>
        </a:p>
        <a:p>
          <a:r>
            <a:rPr lang="en-US" sz="1100"/>
            <a:t>gtonsor@k-state.edu	robinreid@k-state.edu</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www.AgManager.info</a:t>
          </a:r>
          <a:endParaRPr lang="en-US">
            <a:effectLst/>
          </a:endParaRPr>
        </a:p>
        <a:p>
          <a:endParaRPr lang="en-US" sz="1100"/>
        </a:p>
      </xdr:txBody>
    </xdr:sp>
    <xdr:clientData/>
  </xdr:twoCellAnchor>
  <xdr:twoCellAnchor>
    <xdr:from>
      <xdr:col>1</xdr:col>
      <xdr:colOff>19050</xdr:colOff>
      <xdr:row>16</xdr:row>
      <xdr:rowOff>19050</xdr:rowOff>
    </xdr:from>
    <xdr:to>
      <xdr:col>9</xdr:col>
      <xdr:colOff>521495</xdr:colOff>
      <xdr:row>26</xdr:row>
      <xdr:rowOff>175260</xdr:rowOff>
    </xdr:to>
    <xdr:sp macro="" textlink="">
      <xdr:nvSpPr>
        <xdr:cNvPr id="4" name="TextBox 3"/>
        <xdr:cNvSpPr txBox="1"/>
      </xdr:nvSpPr>
      <xdr:spPr>
        <a:xfrm>
          <a:off x="628650" y="3790950"/>
          <a:ext cx="6369845" cy="1985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100"/>
            <a:t>The K-State Beef Team:</a:t>
          </a:r>
        </a:p>
        <a:p>
          <a:pPr>
            <a:tabLst>
              <a:tab pos="685800" algn="l"/>
              <a:tab pos="1371600" algn="l"/>
              <a:tab pos="1828800" algn="l"/>
              <a:tab pos="2286000" algn="l"/>
            </a:tabLst>
          </a:pPr>
          <a:endParaRPr lang="en-US" sz="1100"/>
        </a:p>
        <a:p>
          <a:pPr>
            <a:tabLst>
              <a:tab pos="685800" algn="l"/>
              <a:tab pos="1371600" algn="l"/>
              <a:tab pos="1828800" algn="l"/>
              <a:tab pos="2286000" algn="l"/>
            </a:tabLst>
          </a:pPr>
          <a:r>
            <a:rPr lang="en-US" sz="1100">
              <a:effectLst/>
            </a:rPr>
            <a:t>Dr. Dale Blasi- Stocker Nutrition and Management</a:t>
          </a:r>
        </a:p>
        <a:p>
          <a:pPr>
            <a:tabLst>
              <a:tab pos="685800" algn="l"/>
              <a:tab pos="1371600" algn="l"/>
              <a:tab pos="1828800" algn="l"/>
              <a:tab pos="2286000" algn="l"/>
            </a:tabLst>
          </a:pPr>
          <a:r>
            <a:rPr lang="en-US" sz="1100">
              <a:effectLst/>
            </a:rPr>
            <a:t>Dr.</a:t>
          </a:r>
          <a:r>
            <a:rPr lang="en-US" sz="1100" baseline="0">
              <a:effectLst/>
            </a:rPr>
            <a:t> Joel DeRouchey - Environmental Management</a:t>
          </a:r>
        </a:p>
        <a:p>
          <a:pPr>
            <a:tabLst>
              <a:tab pos="685800" algn="l"/>
              <a:tab pos="1371600" algn="l"/>
              <a:tab pos="1828800" algn="l"/>
              <a:tab pos="2286000" algn="l"/>
            </a:tabLst>
          </a:pPr>
          <a:r>
            <a:rPr lang="en-US" sz="1100" baseline="0">
              <a:effectLst/>
            </a:rPr>
            <a:t>Dr. Jaymelynn Farney- Beef Systems Specialist, Southeast Area</a:t>
          </a:r>
        </a:p>
        <a:p>
          <a:pPr>
            <a:tabLst>
              <a:tab pos="685800" algn="l"/>
              <a:tab pos="1371600" algn="l"/>
              <a:tab pos="1828800" algn="l"/>
              <a:tab pos="2286000" algn="l"/>
            </a:tabLst>
          </a:pPr>
          <a:r>
            <a:rPr lang="en-US" sz="1100" baseline="0">
              <a:effectLst/>
            </a:rPr>
            <a:t>Dr. Sandy Johnson- Livestock Production Specialist, Northwest Area</a:t>
          </a:r>
        </a:p>
        <a:p>
          <a:pPr>
            <a:tabLst>
              <a:tab pos="685800" algn="l"/>
              <a:tab pos="1371600" algn="l"/>
              <a:tab pos="1828800" algn="l"/>
              <a:tab pos="2286000" algn="l"/>
            </a:tabLst>
          </a:pPr>
          <a:r>
            <a:rPr lang="en-US" sz="1100" baseline="0">
              <a:effectLst/>
            </a:rPr>
            <a:t>Dr. Christopher Reinhardt- Feedlot Nutrition &amp; Management</a:t>
          </a:r>
        </a:p>
        <a:p>
          <a:pPr>
            <a:tabLst>
              <a:tab pos="685800" algn="l"/>
              <a:tab pos="1371600" algn="l"/>
              <a:tab pos="1828800" algn="l"/>
              <a:tab pos="2286000" algn="l"/>
            </a:tabLst>
          </a:pPr>
          <a:r>
            <a:rPr lang="en-US" sz="1100" baseline="0">
              <a:effectLst/>
            </a:rPr>
            <a:t>Dr. Justin Waggoner- Beef Systems Specialist, Southwest Area</a:t>
          </a:r>
        </a:p>
        <a:p>
          <a:pPr>
            <a:tabLst>
              <a:tab pos="685800" algn="l"/>
              <a:tab pos="1371600" algn="l"/>
              <a:tab pos="1828800" algn="l"/>
              <a:tab pos="2286000" algn="l"/>
            </a:tabLst>
          </a:pPr>
          <a:r>
            <a:rPr lang="en-US" sz="1100" baseline="0">
              <a:effectLst/>
            </a:rPr>
            <a:t>Dr. Bob Weaber- Associate Professor/Extension Specialist</a:t>
          </a:r>
          <a:endParaRPr lang="en-US" sz="1100">
            <a:effectLst/>
          </a:endParaRPr>
        </a:p>
        <a:p>
          <a:endParaRPr lang="en-US" sz="1100"/>
        </a:p>
        <a:p>
          <a:r>
            <a:rPr lang="en-US" sz="1200" b="1" i="1"/>
            <a:t>www.KSUBeef.org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48</xdr:row>
      <xdr:rowOff>19048</xdr:rowOff>
    </xdr:from>
    <xdr:to>
      <xdr:col>2</xdr:col>
      <xdr:colOff>331471</xdr:colOff>
      <xdr:row>90</xdr:row>
      <xdr:rowOff>178594</xdr:rowOff>
    </xdr:to>
    <xdr:sp macro="" textlink="">
      <xdr:nvSpPr>
        <xdr:cNvPr id="2" name="TextBox 1"/>
        <xdr:cNvSpPr txBox="1"/>
      </xdr:nvSpPr>
      <xdr:spPr>
        <a:xfrm>
          <a:off x="9526" y="9627392"/>
          <a:ext cx="3250883" cy="8136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this year allows the user to change certain key inputs to cater the budget to their production situation.  Climate,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a:t>
          </a:r>
        </a:p>
        <a:p>
          <a:pPr>
            <a:tabLst>
              <a:tab pos="36576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Default costs in the tool are based on 10-year trends, rounded to the nearest dollar.</a:t>
          </a:r>
        </a:p>
        <a:p>
          <a:pPr>
            <a:tabLst>
              <a:tab pos="365760" algn="l"/>
            </a:tabLst>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The default Cow/Calf budget assumes a spring calving herd that develops their own replacements; therefore costs include 16% of the cost of raising a replacement heifer (default is a 16% replacement percentage) and 4% of the cost of maintaining a bull (assuming 1 bull per 20 cows).  If purchasing replacements or A.I. breeding, costs should be adjusted accordingly.  </a:t>
          </a:r>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Default is KFMA state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heifer calves retained for replacements as well as cull cows sold. </a:t>
          </a:r>
          <a:endParaRPr lang="en-US" sz="11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based on the Cow Replacement Percentage.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to revenue per cow.  Cull cow weight can be adjusted.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342901</xdr:colOff>
      <xdr:row>48</xdr:row>
      <xdr:rowOff>19048</xdr:rowOff>
    </xdr:from>
    <xdr:to>
      <xdr:col>10</xdr:col>
      <xdr:colOff>17146</xdr:colOff>
      <xdr:row>91</xdr:row>
      <xdr:rowOff>0</xdr:rowOff>
    </xdr:to>
    <xdr:sp macro="" textlink="">
      <xdr:nvSpPr>
        <xdr:cNvPr id="3" name="TextBox 2"/>
        <xdr:cNvSpPr txBox="1"/>
      </xdr:nvSpPr>
      <xdr:spPr>
        <a:xfrm>
          <a:off x="3271839" y="9627392"/>
          <a:ext cx="3234213" cy="8172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$18.06 is a 2015 state average estimate of a 10-year linear trend using NASS surveys for pasture rental rates.</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 per acre, assuming $0.50/head/day, over 2 acres for 60 days.</a:t>
          </a:r>
          <a:endParaRPr lang="en-US" sz="1100" b="0"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yearly ration of hay, silage, and alfalfa gets combined and the price weighted based on the proportions of each.</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yearly ration of corn, soybean meal, and distiller's grains gets combined and the price weighted based on the proportions of each.</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total pounds/year is entered.</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cow is 5.9 hours,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 </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Assumes the value of a weaned heifer calf and applies to the per cow budget using the replacement percentage.  If purchasing replacements, change this to purchase cost and reduce expenses accordingly.</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KFMA value which includes trucking, sale commissions, and other expenses.</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for the beef cow enterprises's share.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building rental,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Real Estate Tax</a:t>
          </a:r>
          <a:r>
            <a:rPr lang="en-US" sz="1100" b="0" baseline="0">
              <a:solidFill>
                <a:schemeClr val="dk1"/>
              </a:solidFill>
              <a:effectLst/>
              <a:latin typeface="+mn-lt"/>
              <a:ea typeface="+mn-ea"/>
              <a:cs typeface="+mn-cs"/>
            </a:rPr>
            <a:t>: KFMA value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endParaRPr lang="en-US" sz="800" b="1">
            <a:effectLst/>
          </a:endParaRPr>
        </a:p>
        <a:p>
          <a:pPr eaLnBrk="1" fontAlgn="auto" latinLnBrk="0" hangingPunct="1"/>
          <a:r>
            <a:rPr lang="en-US" sz="900" b="0" i="1">
              <a:effectLst/>
            </a:rPr>
            <a:t>*Note,</a:t>
          </a:r>
          <a:r>
            <a:rPr lang="en-US" sz="900" b="0" i="1" baseline="0">
              <a:effectLst/>
            </a:rPr>
            <a:t> KFMA values used reflect 110 farms with an avearge herd size of 126 cows.  </a:t>
          </a:r>
          <a:endParaRPr lang="en-US" sz="900" b="0" i="1">
            <a:effectLst/>
          </a:endParaRPr>
        </a:p>
        <a:p>
          <a:pPr eaLnBrk="1" fontAlgn="auto" latinLnBrk="0" hangingPunct="1"/>
          <a:endParaRPr lang="en-US">
            <a:effectLst/>
          </a:endParaRPr>
        </a:p>
      </xdr:txBody>
    </xdr:sp>
    <xdr:clientData/>
  </xdr:twoCellAnchor>
  <xdr:twoCellAnchor>
    <xdr:from>
      <xdr:col>0</xdr:col>
      <xdr:colOff>76200</xdr:colOff>
      <xdr:row>132</xdr:row>
      <xdr:rowOff>171451</xdr:rowOff>
    </xdr:from>
    <xdr:to>
      <xdr:col>9</xdr:col>
      <xdr:colOff>778670</xdr:colOff>
      <xdr:row>134</xdr:row>
      <xdr:rowOff>0</xdr:rowOff>
    </xdr:to>
    <xdr:sp macro="" textlink="">
      <xdr:nvSpPr>
        <xdr:cNvPr id="11" name="TextBox 10"/>
        <xdr:cNvSpPr txBox="1"/>
      </xdr:nvSpPr>
      <xdr:spPr>
        <a:xfrm>
          <a:off x="76200" y="26403301"/>
          <a:ext cx="6312695" cy="819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mc:AlternateContent xmlns:mc="http://schemas.openxmlformats.org/markup-compatibility/2006">
    <mc:Choice xmlns:a14="http://schemas.microsoft.com/office/drawing/2010/main" Requires="a14">
      <xdr:twoCellAnchor>
        <xdr:from>
          <xdr:col>11</xdr:col>
          <xdr:colOff>9525</xdr:colOff>
          <xdr:row>3</xdr:row>
          <xdr:rowOff>66675</xdr:rowOff>
        </xdr:from>
        <xdr:to>
          <xdr:col>14</xdr:col>
          <xdr:colOff>447675</xdr:colOff>
          <xdr:row>5</xdr:row>
          <xdr:rowOff>0</xdr:rowOff>
        </xdr:to>
        <xdr:sp macro="" textlink="">
          <xdr:nvSpPr>
            <xdr:cNvPr id="9222" name="Button 6" hidden="1">
              <a:extLst>
                <a:ext uri="{63B3BB69-23CF-44E3-9099-C40C66FF867C}">
                  <a14:compatExt spid="_x0000_s92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19050</xdr:rowOff>
        </xdr:from>
        <xdr:to>
          <xdr:col>14</xdr:col>
          <xdr:colOff>438150</xdr:colOff>
          <xdr:row>6</xdr:row>
          <xdr:rowOff>361950</xdr:rowOff>
        </xdr:to>
        <xdr:sp macro="" textlink="">
          <xdr:nvSpPr>
            <xdr:cNvPr id="9224" name="Button 8" hidden="1">
              <a:extLst>
                <a:ext uri="{63B3BB69-23CF-44E3-9099-C40C66FF867C}">
                  <a14:compatExt spid="_x0000_s92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47</xdr:row>
      <xdr:rowOff>19048</xdr:rowOff>
    </xdr:from>
    <xdr:to>
      <xdr:col>2</xdr:col>
      <xdr:colOff>503555</xdr:colOff>
      <xdr:row>89</xdr:row>
      <xdr:rowOff>1111250</xdr:rowOff>
    </xdr:to>
    <xdr:sp macro="" textlink="">
      <xdr:nvSpPr>
        <xdr:cNvPr id="2" name="TextBox 1"/>
        <xdr:cNvSpPr txBox="1"/>
      </xdr:nvSpPr>
      <xdr:spPr>
        <a:xfrm>
          <a:off x="9525" y="10072253"/>
          <a:ext cx="3386166" cy="90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this year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Variable Costs are entered on a per cwt basis multiplied by CWT gained. This way as starting and ending weights are changed, these costs adjust accordingly.  </a:t>
          </a:r>
          <a:r>
            <a:rPr lang="en-US" sz="1100" baseline="0">
              <a:solidFill>
                <a:schemeClr val="dk1"/>
              </a:solidFill>
              <a:effectLst/>
              <a:latin typeface="+mn-lt"/>
              <a:ea typeface="+mn-ea"/>
              <a:cs typeface="+mn-cs"/>
            </a:rPr>
            <a:t>Default costs in the tool are based on 10-year KFMA  trends, rounded to the nearest dollar.</a:t>
          </a:r>
          <a:endParaRPr lang="en-US" sz="1100" baseline="0"/>
        </a:p>
        <a:p>
          <a:pPr>
            <a:tabLst>
              <a:tab pos="365760" algn="l"/>
            </a:tabLst>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While pasture and crop residue grazing are not used in the default scenario, they can be entered as a total acre amount for the feeding period.  Harvested forages, grain &amp; supplements, and salt &amp; mineral are on a head per day basis and will be multiplied by the days in the backgrounding lot to determine total feed amounts.</a:t>
          </a:r>
        </a:p>
        <a:p>
          <a:pPr>
            <a:tabLst>
              <a:tab pos="365760" algn="l"/>
            </a:tabLst>
          </a:pPr>
          <a:endParaRPr lang="en-US" sz="9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in Backgrounding Lot: </a:t>
          </a:r>
          <a:r>
            <a:rPr lang="en-US" sz="1100" b="0" baseline="0">
              <a:solidFill>
                <a:schemeClr val="dk1"/>
              </a:solidFill>
              <a:effectLst/>
              <a:latin typeface="+mn-lt"/>
              <a:ea typeface="+mn-ea"/>
              <a:cs typeface="+mn-cs"/>
            </a:rPr>
            <a:t>Will be used to calculate ending weight and be multiplied by feed inputs that are on a per day basis.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Average Daily Gain: </a:t>
          </a:r>
          <a:r>
            <a:rPr lang="en-US" sz="1100" b="0" baseline="0">
              <a:solidFill>
                <a:schemeClr val="dk1"/>
              </a:solidFill>
              <a:effectLst/>
              <a:latin typeface="+mn-lt"/>
              <a:ea typeface="+mn-ea"/>
              <a:cs typeface="+mn-cs"/>
            </a:rPr>
            <a:t>Will be multiplied by days in the lot to determine ending weight.  ADG is a large driver of returns, so should be adjusted to fit the production setting.  If pasture or crop residue is used during the feeding period, overwrite the ending weight value to achieve the correct weight if need be.</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Feeder Animal Sale: </a:t>
          </a:r>
          <a:r>
            <a:rPr lang="en-US" sz="1100" b="0" baseline="0">
              <a:solidFill>
                <a:schemeClr val="dk1"/>
              </a:solidFill>
              <a:effectLst/>
              <a:latin typeface="+mn-lt"/>
              <a:ea typeface="+mn-ea"/>
              <a:cs typeface="+mn-cs"/>
            </a:rPr>
            <a:t>Default is based upon Steer price, adjust if purchaing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Steer price, adjust if purchasing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47</xdr:row>
      <xdr:rowOff>19048</xdr:rowOff>
    </xdr:from>
    <xdr:to>
      <xdr:col>9</xdr:col>
      <xdr:colOff>995681</xdr:colOff>
      <xdr:row>89</xdr:row>
      <xdr:rowOff>1143000</xdr:rowOff>
    </xdr:to>
    <xdr:sp macro="" textlink="">
      <xdr:nvSpPr>
        <xdr:cNvPr id="3" name="TextBox 2"/>
        <xdr:cNvSpPr txBox="1"/>
      </xdr:nvSpPr>
      <xdr:spPr>
        <a:xfrm>
          <a:off x="3390901" y="10083798"/>
          <a:ext cx="3383280" cy="912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endParaRPr lang="en-US">
            <a:effectLst/>
          </a:endParaRPr>
        </a:p>
        <a:p>
          <a:pPr eaLnBrk="1" fontAlgn="auto" latinLnBrk="0" hangingPunct="1"/>
          <a:endParaRPr lang="en-US" sz="9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$18.06 is a 2015 state average estimate of a 10-year linear trend using NASS surveys for pasture rental rates.  Pasture is not used in this example.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$15/acre, but no crop residue is used in this example.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hay, silage, and alfalfa gets combined and multiplied by days in the backgrounding lot.  The price is weighted based on the proportions of each forage.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corn, soybean meal, and distiller's grains gets combined and multiplied by days in the backgrounding lot. The price is weighted based on the proportions of each feedstuff.</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daily amount is entered which is multiplied by days in the backgrounding lot.</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.30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which includes fuel &amp; oil for equipment, and the enterprises's share of telephone, electricity, gas, and water expenses.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building rent,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value</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endParaRPr lang="en-US" b="1">
            <a:effectLst/>
          </a:endParaRPr>
        </a:p>
        <a:p>
          <a:pPr eaLnBrk="1" fontAlgn="auto" latinLnBrk="0" hangingPunct="1"/>
          <a:endParaRPr lang="en-US" b="1">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44 farms with an average of  657 head.  </a:t>
          </a:r>
          <a:endParaRPr lang="en-US" sz="900">
            <a:effectLst/>
          </a:endParaRPr>
        </a:p>
        <a:p>
          <a:pPr eaLnBrk="1" fontAlgn="auto" latinLnBrk="0" hangingPunct="1"/>
          <a:endParaRPr lang="en-US" b="1">
            <a:effectLst/>
          </a:endParaRPr>
        </a:p>
        <a:p>
          <a:pPr eaLnBrk="1" fontAlgn="auto" latinLnBrk="0" hangingPunct="1"/>
          <a:endParaRPr lang="en-US">
            <a:effectLst/>
          </a:endParaRPr>
        </a:p>
      </xdr:txBody>
    </xdr:sp>
    <xdr:clientData/>
  </xdr:twoCellAnchor>
  <mc:AlternateContent xmlns:mc="http://schemas.openxmlformats.org/markup-compatibility/2006">
    <mc:Choice xmlns:a14="http://schemas.microsoft.com/office/drawing/2010/main" Requires="a14">
      <xdr:twoCellAnchor>
        <xdr:from>
          <xdr:col>11</xdr:col>
          <xdr:colOff>9525</xdr:colOff>
          <xdr:row>2</xdr:row>
          <xdr:rowOff>180975</xdr:rowOff>
        </xdr:from>
        <xdr:to>
          <xdr:col>14</xdr:col>
          <xdr:colOff>581025</xdr:colOff>
          <xdr:row>4</xdr:row>
          <xdr:rowOff>133350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5</xdr:row>
          <xdr:rowOff>171450</xdr:rowOff>
        </xdr:from>
        <xdr:to>
          <xdr:col>14</xdr:col>
          <xdr:colOff>590550</xdr:colOff>
          <xdr:row>7</xdr:row>
          <xdr:rowOff>123825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0</xdr:colOff>
      <xdr:row>129</xdr:row>
      <xdr:rowOff>103909</xdr:rowOff>
    </xdr:from>
    <xdr:to>
      <xdr:col>9</xdr:col>
      <xdr:colOff>537947</xdr:colOff>
      <xdr:row>133</xdr:row>
      <xdr:rowOff>166253</xdr:rowOff>
    </xdr:to>
    <xdr:sp macro="" textlink="">
      <xdr:nvSpPr>
        <xdr:cNvPr id="7" name="TextBox 6"/>
        <xdr:cNvSpPr txBox="1"/>
      </xdr:nvSpPr>
      <xdr:spPr>
        <a:xfrm>
          <a:off x="0" y="28445114"/>
          <a:ext cx="6313561" cy="824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47</xdr:row>
      <xdr:rowOff>19049</xdr:rowOff>
    </xdr:from>
    <xdr:to>
      <xdr:col>2</xdr:col>
      <xdr:colOff>503555</xdr:colOff>
      <xdr:row>89</xdr:row>
      <xdr:rowOff>432955</xdr:rowOff>
    </xdr:to>
    <xdr:sp macro="" textlink="">
      <xdr:nvSpPr>
        <xdr:cNvPr id="2" name="TextBox 1"/>
        <xdr:cNvSpPr txBox="1"/>
      </xdr:nvSpPr>
      <xdr:spPr>
        <a:xfrm>
          <a:off x="9525" y="9353549"/>
          <a:ext cx="3386166" cy="8414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this year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a:t>
          </a:r>
        </a:p>
        <a:p>
          <a:pPr eaLnBrk="1" fontAlgn="auto" latinLnBrk="0" hangingPunct="1">
            <a:tabLst>
              <a:tab pos="45720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a:t>
          </a:r>
          <a:r>
            <a:rPr lang="en-US" sz="1100" baseline="0">
              <a:solidFill>
                <a:schemeClr val="dk1"/>
              </a:solidFill>
              <a:effectLst/>
              <a:latin typeface="+mn-lt"/>
              <a:ea typeface="+mn-ea"/>
              <a:cs typeface="+mn-cs"/>
            </a:rPr>
            <a:t>Variable Costs are entered on a per cwt basis multiplied by CWT gained. This way as starting and ending weights are changed, these costs adjust accordingly.  Default costs in the tool are based on 10-year KFMA  trends, rounded to the nearest dollar.</a:t>
          </a:r>
          <a:endParaRPr lang="en-US">
            <a:effectLst/>
          </a:endParaRPr>
        </a:p>
        <a:p>
          <a:pPr>
            <a:tabLst>
              <a:tab pos="365760" algn="l"/>
            </a:tabLst>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Pasture should be entered as a total acre amount for the entire budgeting period.  The default assumes a season-long grazing scenario.  If crop residue or harvested forages are used seperate of pasture, adjust ending weight accordingly, since it calculates off of ADG on pasture.  Grain, supplements, and mineral are also entered as a total amount for the stocker period.  </a:t>
          </a:r>
        </a:p>
        <a:p>
          <a:pPr>
            <a:tabLst>
              <a:tab pos="365760" algn="l"/>
            </a:tabLst>
          </a:pPr>
          <a:endParaRPr lang="en-US" sz="9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on Pasture &amp; Average Daily Gain: </a:t>
          </a:r>
          <a:r>
            <a:rPr lang="en-US" sz="1100" b="0" baseline="0">
              <a:solidFill>
                <a:schemeClr val="dk1"/>
              </a:solidFill>
              <a:effectLst/>
              <a:latin typeface="+mn-lt"/>
              <a:ea typeface="+mn-ea"/>
              <a:cs typeface="+mn-cs"/>
            </a:rPr>
            <a:t>Will be used to calculate ending weight and hundredweight producted (CWT).  Non-feed variable costs will adjust in proportion to cwt produced.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Feeder Animal Sale: </a:t>
          </a:r>
          <a:r>
            <a:rPr lang="en-US" sz="1100" b="0" baseline="0">
              <a:solidFill>
                <a:schemeClr val="dk1"/>
              </a:solidFill>
              <a:effectLst/>
              <a:latin typeface="+mn-lt"/>
              <a:ea typeface="+mn-ea"/>
              <a:cs typeface="+mn-cs"/>
            </a:rPr>
            <a:t>Default is based upon Steer price, adjust if grazing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Steer price, adjust if grazing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47</xdr:row>
      <xdr:rowOff>19047</xdr:rowOff>
    </xdr:from>
    <xdr:to>
      <xdr:col>9</xdr:col>
      <xdr:colOff>881381</xdr:colOff>
      <xdr:row>89</xdr:row>
      <xdr:rowOff>432954</xdr:rowOff>
    </xdr:to>
    <xdr:sp macro="" textlink="">
      <xdr:nvSpPr>
        <xdr:cNvPr id="3" name="TextBox 2"/>
        <xdr:cNvSpPr txBox="1"/>
      </xdr:nvSpPr>
      <xdr:spPr>
        <a:xfrm>
          <a:off x="3393787" y="9353547"/>
          <a:ext cx="3167958" cy="8414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p>
        <a:p>
          <a:pPr marL="0" marR="0" indent="0" defTabSz="914400" eaLnBrk="1" fontAlgn="auto" latinLnBrk="0" hangingPunct="1">
            <a:lnSpc>
              <a:spcPct val="100000"/>
            </a:lnSpc>
            <a:spcBef>
              <a:spcPts val="0"/>
            </a:spcBef>
            <a:spcAft>
              <a:spcPts val="0"/>
            </a:spcAft>
            <a:buClrTx/>
            <a:buSzTx/>
            <a:buFontTx/>
            <a:buNone/>
            <a:tabLst/>
            <a:defRPr/>
          </a:pPr>
          <a:endParaRPr lang="en-US" sz="105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$18.06 is a 2015 state average estimate of a 10-year linear trend using NASS surveys for pasture rental rates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$15/acre, but no crop residue is used in this example.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total ration of hay, silage, and alfalfa gets combined and price is weighted based on the proportions of each forage.  Default scenario assumes stockers are on pasture entire time.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total ration of corn, soybean meal, and distiller's grains gets combined and price is weighted based on the proportions of each feedstuff.  Default scenario assumes no grain or supplements are used.</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total amount is entered for the grazing period.</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between .15 and .30 hours per month, default assumes .20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combined values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p>
        <a:p>
          <a:pPr eaLnBrk="1" fontAlgn="auto" latinLnBrk="0" hangingPunct="1"/>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10 farms with an average of 287 head.  </a:t>
          </a:r>
          <a:endParaRPr lang="en-US" sz="900">
            <a:effectLst/>
          </a:endParaRPr>
        </a:p>
        <a:p>
          <a:pPr eaLnBrk="1" fontAlgn="auto" latinLnBrk="0" hangingPunct="1"/>
          <a:endParaRPr lang="en-US" b="1">
            <a:effectLst/>
          </a:endParaRPr>
        </a:p>
        <a:p>
          <a:pPr eaLnBrk="1" fontAlgn="auto" latinLnBrk="0" hangingPunct="1"/>
          <a:endParaRPr lang="en-US">
            <a:effectLst/>
          </a:endParaRPr>
        </a:p>
      </xdr:txBody>
    </xdr:sp>
    <xdr:clientData/>
  </xdr:twoCellAnchor>
  <mc:AlternateContent xmlns:mc="http://schemas.openxmlformats.org/markup-compatibility/2006">
    <mc:Choice xmlns:a14="http://schemas.microsoft.com/office/drawing/2010/main" Requires="a14">
      <xdr:twoCellAnchor>
        <xdr:from>
          <xdr:col>11</xdr:col>
          <xdr:colOff>19050</xdr:colOff>
          <xdr:row>2</xdr:row>
          <xdr:rowOff>171450</xdr:rowOff>
        </xdr:from>
        <xdr:to>
          <xdr:col>14</xdr:col>
          <xdr:colOff>428625</xdr:colOff>
          <xdr:row>4</xdr:row>
          <xdr:rowOff>114300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10</xdr:col>
          <xdr:colOff>600075</xdr:colOff>
          <xdr:row>5</xdr:row>
          <xdr:rowOff>152400</xdr:rowOff>
        </xdr:from>
        <xdr:to>
          <xdr:col>14</xdr:col>
          <xdr:colOff>438150</xdr:colOff>
          <xdr:row>7</xdr:row>
          <xdr:rowOff>95250</xdr:rowOff>
        </xdr:to>
        <xdr:sp macro="" textlink="">
          <xdr:nvSpPr>
            <xdr:cNvPr id="13314" name="Button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25977</xdr:colOff>
      <xdr:row>129</xdr:row>
      <xdr:rowOff>103909</xdr:rowOff>
    </xdr:from>
    <xdr:to>
      <xdr:col>9</xdr:col>
      <xdr:colOff>659174</xdr:colOff>
      <xdr:row>133</xdr:row>
      <xdr:rowOff>166253</xdr:rowOff>
    </xdr:to>
    <xdr:sp macro="" textlink="">
      <xdr:nvSpPr>
        <xdr:cNvPr id="7" name="TextBox 6"/>
        <xdr:cNvSpPr txBox="1"/>
      </xdr:nvSpPr>
      <xdr:spPr>
        <a:xfrm>
          <a:off x="25977" y="25925318"/>
          <a:ext cx="6313561" cy="824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46</xdr:row>
      <xdr:rowOff>19048</xdr:rowOff>
    </xdr:from>
    <xdr:to>
      <xdr:col>2</xdr:col>
      <xdr:colOff>503555</xdr:colOff>
      <xdr:row>88</xdr:row>
      <xdr:rowOff>1111250</xdr:rowOff>
    </xdr:to>
    <xdr:sp macro="" textlink="">
      <xdr:nvSpPr>
        <xdr:cNvPr id="2" name="TextBox 1"/>
        <xdr:cNvSpPr txBox="1"/>
      </xdr:nvSpPr>
      <xdr:spPr>
        <a:xfrm>
          <a:off x="9525" y="10067923"/>
          <a:ext cx="3389630" cy="90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this year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a:t>
          </a:r>
        </a:p>
        <a:p>
          <a:pPr eaLnBrk="1" fontAlgn="auto" latinLnBrk="0" hangingPunct="1">
            <a:tabLst>
              <a:tab pos="45720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a:t>
          </a:r>
          <a:r>
            <a:rPr lang="en-US" sz="1100" baseline="0">
              <a:solidFill>
                <a:schemeClr val="dk1"/>
              </a:solidFill>
              <a:effectLst/>
              <a:latin typeface="+mn-lt"/>
              <a:ea typeface="+mn-ea"/>
              <a:cs typeface="+mn-cs"/>
            </a:rPr>
            <a:t>Variable Costs are entered on a per cwt basis multiplied by CWT gained. This way as starting and ending weights are changed, these costs adjust accordingly.  Default costs in the tool are based on 10-year KFMA  trends, rounded to the nearest dollar.</a:t>
          </a:r>
          <a:endParaRPr lang="en-US">
            <a:effectLst/>
          </a:endParaRPr>
        </a:p>
        <a:p>
          <a:pPr>
            <a:tabLst>
              <a:tab pos="365760" algn="l"/>
            </a:tabLst>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Harvested forages, grain/supplements, and mineral are on a head per day basis and will be multiplied by the days in the finishing lot to determine total feed amounts.</a:t>
          </a:r>
        </a:p>
        <a:p>
          <a:pPr>
            <a:tabLst>
              <a:tab pos="365760" algn="l"/>
            </a:tabLst>
          </a:pPr>
          <a:endParaRPr lang="en-US" sz="11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in Feed &amp; Average Daily Gain: </a:t>
          </a:r>
          <a:r>
            <a:rPr lang="en-US" sz="1100" b="0" baseline="0">
              <a:solidFill>
                <a:schemeClr val="dk1"/>
              </a:solidFill>
              <a:effectLst/>
              <a:latin typeface="+mn-lt"/>
              <a:ea typeface="+mn-ea"/>
              <a:cs typeface="+mn-cs"/>
            </a:rPr>
            <a:t>Will be used to calculate ending weight and be multiplied by feed inputs which are on a per day basis.  ADG is a large driver of returns, so should be adjusted to fit the production setting.  </a:t>
          </a: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Fed Animal Sale: </a:t>
          </a:r>
          <a:r>
            <a:rPr lang="en-US" sz="1100" b="0" baseline="0">
              <a:solidFill>
                <a:schemeClr val="dk1"/>
              </a:solidFill>
              <a:effectLst/>
              <a:latin typeface="+mn-lt"/>
              <a:ea typeface="+mn-ea"/>
              <a:cs typeface="+mn-cs"/>
            </a:rPr>
            <a:t>Default is based upon 5-area average Steer price, adjust if feeding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Feeder Steer price, adjust if feeding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46</xdr:row>
      <xdr:rowOff>19048</xdr:rowOff>
    </xdr:from>
    <xdr:to>
      <xdr:col>9</xdr:col>
      <xdr:colOff>995681</xdr:colOff>
      <xdr:row>88</xdr:row>
      <xdr:rowOff>1143000</xdr:rowOff>
    </xdr:to>
    <xdr:sp macro="" textlink="">
      <xdr:nvSpPr>
        <xdr:cNvPr id="3" name="TextBox 2"/>
        <xdr:cNvSpPr txBox="1"/>
      </xdr:nvSpPr>
      <xdr:spPr>
        <a:xfrm>
          <a:off x="3397251" y="10067923"/>
          <a:ext cx="3380105" cy="912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endParaRPr lang="en-US">
            <a:effectLst/>
          </a:endParaRPr>
        </a:p>
        <a:p>
          <a:pPr eaLnBrk="1" fontAlgn="auto" latinLnBrk="0" hangingPunct="1"/>
          <a:endParaRPr lang="en-US" sz="9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hay, silage, and alfalfa gets combined and multiplied by days in the finishing lot.  The price is weighted based on the proportions of each forage.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corn, soybean meal, and distiller's grains gets combined and multiplied by days in the finishing lot. The price is weighted based on the proportions of each feedstuff.</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daily amount is entered which is multiplied by days in the finishing lot.</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.15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which includes fuel &amp; oil for equipment, and the enterprises's share of telephone, electricity, gas, and water expenses.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building rent, conservation,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value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p>
        <a:p>
          <a:pPr eaLnBrk="1" fontAlgn="auto" latinLnBrk="0" hangingPunct="1"/>
          <a:endParaRPr lang="en-US" sz="400">
            <a:effectLst/>
          </a:endParaRPr>
        </a:p>
        <a:p>
          <a:pPr eaLnBrk="1" fontAlgn="auto" latinLnBrk="0" hangingPunct="1"/>
          <a:endParaRPr lang="en-US" sz="4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19 farms with an average of 1,085 head.  </a:t>
          </a:r>
          <a:endParaRPr lang="en-US" sz="900">
            <a:effectLst/>
          </a:endParaRPr>
        </a:p>
        <a:p>
          <a:pPr eaLnBrk="1" fontAlgn="auto" latinLnBrk="0" hangingPunct="1"/>
          <a:endParaRPr lang="en-US">
            <a:effectLst/>
          </a:endParaRPr>
        </a:p>
      </xdr:txBody>
    </xdr:sp>
    <xdr:clientData/>
  </xdr:twoCellAnchor>
  <xdr:oneCellAnchor>
    <xdr:from>
      <xdr:col>14</xdr:col>
      <xdr:colOff>428625</xdr:colOff>
      <xdr:row>15</xdr:row>
      <xdr:rowOff>76200</xdr:rowOff>
    </xdr:from>
    <xdr:ext cx="184731" cy="264560"/>
    <xdr:sp macro="" textlink="">
      <xdr:nvSpPr>
        <xdr:cNvPr id="7" name="TextBox 6"/>
        <xdr:cNvSpPr txBox="1"/>
      </xdr:nvSpPr>
      <xdr:spPr>
        <a:xfrm>
          <a:off x="99441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609600</xdr:colOff>
          <xdr:row>4</xdr:row>
          <xdr:rowOff>38100</xdr:rowOff>
        </xdr:from>
        <xdr:to>
          <xdr:col>14</xdr:col>
          <xdr:colOff>447675</xdr:colOff>
          <xdr:row>6</xdr:row>
          <xdr:rowOff>9525</xdr:rowOff>
        </xdr:to>
        <xdr:sp macro="" textlink="">
          <xdr:nvSpPr>
            <xdr:cNvPr id="16405" name="Button 21" hidden="1">
              <a:extLst>
                <a:ext uri="{63B3BB69-23CF-44E3-9099-C40C66FF867C}">
                  <a14:compatExt spid="_x0000_s164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180975</xdr:rowOff>
        </xdr:from>
        <xdr:to>
          <xdr:col>14</xdr:col>
          <xdr:colOff>466725</xdr:colOff>
          <xdr:row>7</xdr:row>
          <xdr:rowOff>152400</xdr:rowOff>
        </xdr:to>
        <xdr:sp macro="" textlink="">
          <xdr:nvSpPr>
            <xdr:cNvPr id="16406" name="Button 22" hidden="1">
              <a:extLst>
                <a:ext uri="{63B3BB69-23CF-44E3-9099-C40C66FF867C}">
                  <a14:compatExt spid="_x0000_s164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0</xdr:colOff>
      <xdr:row>127</xdr:row>
      <xdr:rowOff>95250</xdr:rowOff>
    </xdr:from>
    <xdr:to>
      <xdr:col>9</xdr:col>
      <xdr:colOff>763084</xdr:colOff>
      <xdr:row>131</xdr:row>
      <xdr:rowOff>157594</xdr:rowOff>
    </xdr:to>
    <xdr:sp macro="" textlink="">
      <xdr:nvSpPr>
        <xdr:cNvPr id="8" name="TextBox 7"/>
        <xdr:cNvSpPr txBox="1"/>
      </xdr:nvSpPr>
      <xdr:spPr>
        <a:xfrm>
          <a:off x="0" y="26029227"/>
          <a:ext cx="6313561" cy="824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inreid/Documents/Livestock%20Budgets/Master%20Price%20Worksheet-Livestock%20Budg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Prices"/>
      <sheetName val="Current Price Explanations"/>
      <sheetName val="1-Year Out Price Explanations"/>
      <sheetName val="5-Year Out Price Explanations"/>
      <sheetName val="Feed (2)_IDOtherIngValues"/>
    </sheetNames>
    <sheetDataSet>
      <sheetData sheetId="0">
        <row r="5">
          <cell r="G5" t="str">
            <v>(Nov. 2014 USDA)</v>
          </cell>
        </row>
        <row r="12">
          <cell r="A12" t="str">
            <v>Heifer Calf Price ($/cwt)</v>
          </cell>
          <cell r="C12">
            <v>0</v>
          </cell>
          <cell r="E12">
            <v>0</v>
          </cell>
        </row>
        <row r="13">
          <cell r="A13" t="str">
            <v>Steer Calves Price ($/cwt)</v>
          </cell>
          <cell r="C13">
            <v>0</v>
          </cell>
          <cell r="E13">
            <v>0</v>
          </cell>
        </row>
        <row r="14">
          <cell r="A14" t="str">
            <v>Feeder Steers ($/cwt)</v>
          </cell>
          <cell r="C14">
            <v>0</v>
          </cell>
          <cell r="E14">
            <v>0</v>
          </cell>
        </row>
        <row r="15">
          <cell r="A15" t="str">
            <v>5-area Fed Cattle ($/cwt)</v>
          </cell>
          <cell r="C15">
            <v>0</v>
          </cell>
          <cell r="E15">
            <v>0</v>
          </cell>
        </row>
        <row r="16">
          <cell r="A16" t="str">
            <v>Beef Cull cow ($/cwt)</v>
          </cell>
          <cell r="C16">
            <v>0</v>
          </cell>
          <cell r="E16">
            <v>0</v>
          </cell>
        </row>
        <row r="26">
          <cell r="A26" t="str">
            <v>Corn ($/bu)</v>
          </cell>
        </row>
        <row r="28">
          <cell r="A28" t="str">
            <v>Soybean Meal ($/ton)</v>
          </cell>
        </row>
        <row r="29">
          <cell r="A29" t="str">
            <v>DDGS ($/ton)</v>
          </cell>
        </row>
        <row r="30">
          <cell r="A30" t="str">
            <v>Silage ($/ton)</v>
          </cell>
          <cell r="C30">
            <v>0</v>
          </cell>
          <cell r="E30">
            <v>0</v>
          </cell>
        </row>
        <row r="31">
          <cell r="A31" t="str">
            <v>Prairie Hay ($/ton)</v>
          </cell>
          <cell r="C31">
            <v>0</v>
          </cell>
          <cell r="E31">
            <v>0</v>
          </cell>
        </row>
        <row r="32">
          <cell r="A32" t="str">
            <v>Alfalfa ($/ton)</v>
          </cell>
          <cell r="C32">
            <v>0</v>
          </cell>
          <cell r="E32">
            <v>0</v>
          </cell>
        </row>
        <row r="34">
          <cell r="A34" t="str">
            <v>Pasture Rental ($/acre)</v>
          </cell>
          <cell r="C34">
            <v>0</v>
          </cell>
          <cell r="E34">
            <v>0</v>
          </cell>
        </row>
        <row r="35">
          <cell r="A35" t="str">
            <v>Crop Residue ($/acre)</v>
          </cell>
          <cell r="C35">
            <v>0</v>
          </cell>
          <cell r="E35">
            <v>0</v>
          </cell>
        </row>
        <row r="36">
          <cell r="A36" t="str">
            <v>Beef Cow Mineral ($/ton)</v>
          </cell>
          <cell r="C36">
            <v>0</v>
          </cell>
          <cell r="E36">
            <v>0</v>
          </cell>
        </row>
        <row r="37">
          <cell r="A37" t="str">
            <v>Other Beef Mineral ($/ton)</v>
          </cell>
          <cell r="C37">
            <v>0</v>
          </cell>
          <cell r="E37">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ms.usda.gov/mnreports/lspdfss.pdf" TargetMode="External"/><Relationship Id="rId7" Type="http://schemas.openxmlformats.org/officeDocument/2006/relationships/printerSettings" Target="../printerSettings/printerSettings2.bin"/><Relationship Id="rId2" Type="http://schemas.openxmlformats.org/officeDocument/2006/relationships/hyperlink" Target="http://www.usda.gov/oce/commodity/projections/" TargetMode="External"/><Relationship Id="rId1" Type="http://schemas.openxmlformats.org/officeDocument/2006/relationships/hyperlink" Target="http://www.usda.gov/oce/commodity/projections/" TargetMode="External"/><Relationship Id="rId6" Type="http://schemas.openxmlformats.org/officeDocument/2006/relationships/hyperlink" Target="http://www.ams.usda.gov/mnreports/lspdfss.pdf" TargetMode="External"/><Relationship Id="rId5" Type="http://schemas.openxmlformats.org/officeDocument/2006/relationships/hyperlink" Target="http://www.nass.usda.gov/Statistics_by_State/Kansas/Publications/County_Estimates/index.asp%20(Regression%20adjusted%20for%202015)" TargetMode="External"/><Relationship Id="rId4" Type="http://schemas.openxmlformats.org/officeDocument/2006/relationships/hyperlink" Target="http://www.ams.usda.gov/mnreports/dc_gr310.txt"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P16"/>
  <sheetViews>
    <sheetView tabSelected="1" workbookViewId="0">
      <selection activeCell="N21" sqref="N21"/>
    </sheetView>
  </sheetViews>
  <sheetFormatPr defaultRowHeight="15" x14ac:dyDescent="0.25"/>
  <cols>
    <col min="3" max="3" width="14.5703125" customWidth="1"/>
    <col min="4" max="4" width="23.28515625" bestFit="1" customWidth="1"/>
    <col min="16" max="16" width="11.28515625" customWidth="1"/>
  </cols>
  <sheetData>
    <row r="1" spans="2:16" ht="28.5" x14ac:dyDescent="0.45">
      <c r="B1" s="97" t="s">
        <v>144</v>
      </c>
      <c r="C1" s="98"/>
      <c r="D1" s="98"/>
      <c r="E1" s="98"/>
      <c r="F1" s="98"/>
      <c r="G1" s="98"/>
      <c r="H1" s="98"/>
      <c r="I1" s="98"/>
      <c r="J1" s="98"/>
      <c r="K1" s="98"/>
      <c r="L1" s="98"/>
      <c r="M1" s="98"/>
      <c r="N1" s="99"/>
      <c r="O1" s="99"/>
      <c r="P1" s="99"/>
    </row>
    <row r="2" spans="2:16" ht="18.75" x14ac:dyDescent="0.3">
      <c r="B2" s="96" t="s">
        <v>28</v>
      </c>
      <c r="C2" s="96"/>
      <c r="D2" s="146">
        <v>42339</v>
      </c>
    </row>
    <row r="3" spans="2:16" x14ac:dyDescent="0.25">
      <c r="B3" t="s">
        <v>23</v>
      </c>
    </row>
    <row r="4" spans="2:16" x14ac:dyDescent="0.25">
      <c r="B4" t="s">
        <v>24</v>
      </c>
    </row>
    <row r="5" spans="2:16" x14ac:dyDescent="0.25">
      <c r="B5" t="s">
        <v>25</v>
      </c>
    </row>
    <row r="6" spans="2:16" x14ac:dyDescent="0.25">
      <c r="B6" t="s">
        <v>1</v>
      </c>
    </row>
    <row r="8" spans="2:16" x14ac:dyDescent="0.25">
      <c r="B8" s="1"/>
    </row>
    <row r="9" spans="2:16" x14ac:dyDescent="0.25">
      <c r="B9" t="s">
        <v>141</v>
      </c>
    </row>
    <row r="14" spans="2:16" ht="30.75" customHeight="1" x14ac:dyDescent="0.25"/>
    <row r="15" spans="2:16" ht="43.5" customHeight="1" x14ac:dyDescent="0.25"/>
    <row r="16" spans="2:16" ht="18" customHeight="1" x14ac:dyDescent="0.25">
      <c r="B16" t="s">
        <v>142</v>
      </c>
    </row>
  </sheetData>
  <sheetProtection sheet="1" objects="1" scenarios="1"/>
  <pageMargins left="0.25" right="0.25" top="0.75" bottom="0.75" header="0.3" footer="0.3"/>
  <pageSetup scale="62"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7030A0"/>
    <pageSetUpPr fitToPage="1"/>
  </sheetPr>
  <dimension ref="A1:J25"/>
  <sheetViews>
    <sheetView zoomScale="90" zoomScaleNormal="90" workbookViewId="0">
      <selection activeCell="B7" sqref="B7"/>
    </sheetView>
  </sheetViews>
  <sheetFormatPr defaultRowHeight="15" x14ac:dyDescent="0.25"/>
  <cols>
    <col min="1" max="1" width="25.7109375" bestFit="1" customWidth="1"/>
    <col min="2" max="2" width="24.140625" bestFit="1" customWidth="1"/>
    <col min="3" max="3" width="114.28515625" hidden="1" customWidth="1"/>
    <col min="4" max="4" width="24.140625" bestFit="1" customWidth="1"/>
    <col min="5" max="5" width="60.5703125" hidden="1" customWidth="1"/>
    <col min="6" max="6" width="1.85546875" hidden="1" customWidth="1"/>
    <col min="7" max="7" width="19.7109375" bestFit="1" customWidth="1"/>
    <col min="8" max="8" width="46.7109375" hidden="1" customWidth="1"/>
  </cols>
  <sheetData>
    <row r="1" spans="1:10" x14ac:dyDescent="0.25">
      <c r="A1" s="3" t="s">
        <v>29</v>
      </c>
    </row>
    <row r="2" spans="1:10" x14ac:dyDescent="0.25">
      <c r="A2" s="3" t="s">
        <v>54</v>
      </c>
    </row>
    <row r="3" spans="1:10" x14ac:dyDescent="0.25">
      <c r="A3" s="3" t="s">
        <v>55</v>
      </c>
    </row>
    <row r="4" spans="1:10" x14ac:dyDescent="0.25">
      <c r="B4" s="27" t="str">
        <f>A1</f>
        <v>Current Prices</v>
      </c>
      <c r="C4" s="21"/>
      <c r="D4" s="29" t="str">
        <f>A2</f>
        <v>One Year Out Prices</v>
      </c>
      <c r="E4" s="28"/>
      <c r="G4" s="37" t="str">
        <f>A3</f>
        <v>Five Years Out Prices</v>
      </c>
      <c r="H4" s="38"/>
    </row>
    <row r="5" spans="1:10" x14ac:dyDescent="0.25">
      <c r="B5" s="103" t="s">
        <v>154</v>
      </c>
      <c r="C5" s="21" t="s">
        <v>2</v>
      </c>
      <c r="D5" s="29" t="str">
        <f>B5</f>
        <v>(as of December 1, 2015)</v>
      </c>
      <c r="E5" s="28" t="s">
        <v>2</v>
      </c>
      <c r="G5" s="104" t="str">
        <f>'[1]Master Prices'!$G$5</f>
        <v>(Nov. 2014 USDA)</v>
      </c>
      <c r="H5" s="38"/>
    </row>
    <row r="6" spans="1:10" x14ac:dyDescent="0.25">
      <c r="A6" t="str">
        <f>'[1]Master Prices'!$A$26</f>
        <v>Corn ($/bu)</v>
      </c>
      <c r="B6" s="106">
        <v>3.77</v>
      </c>
      <c r="C6" s="109" t="s">
        <v>3</v>
      </c>
      <c r="D6" s="107">
        <v>4.0660000000000007</v>
      </c>
      <c r="E6" s="110" t="s">
        <v>53</v>
      </c>
      <c r="F6" s="111"/>
      <c r="G6" s="108">
        <v>3.55</v>
      </c>
      <c r="H6" s="39" t="s">
        <v>21</v>
      </c>
      <c r="I6" s="24"/>
      <c r="J6" s="24"/>
    </row>
    <row r="7" spans="1:10" x14ac:dyDescent="0.25">
      <c r="A7" t="str">
        <f>'[1]Master Prices'!$A$28</f>
        <v>Soybean Meal ($/ton)</v>
      </c>
      <c r="B7" s="106">
        <v>281.60000000000002</v>
      </c>
      <c r="C7" s="109" t="s">
        <v>5</v>
      </c>
      <c r="D7" s="107">
        <v>291.7</v>
      </c>
      <c r="E7" s="110" t="s">
        <v>52</v>
      </c>
      <c r="F7" s="111"/>
      <c r="G7" s="108">
        <v>326</v>
      </c>
      <c r="H7" s="38" t="s">
        <v>21</v>
      </c>
      <c r="I7" s="24"/>
      <c r="J7" s="24"/>
    </row>
    <row r="8" spans="1:10" x14ac:dyDescent="0.25">
      <c r="A8" t="str">
        <f>'[1]Master Prices'!$A$29</f>
        <v>DDGS ($/ton)</v>
      </c>
      <c r="B8" s="106">
        <v>147.5</v>
      </c>
      <c r="C8" s="109" t="s">
        <v>4</v>
      </c>
      <c r="D8" s="107">
        <v>159.08090185676394</v>
      </c>
      <c r="E8" s="112" t="s">
        <v>57</v>
      </c>
      <c r="F8" s="113"/>
      <c r="G8" s="108">
        <v>138.89257294429709</v>
      </c>
      <c r="H8" s="38" t="s">
        <v>57</v>
      </c>
      <c r="I8" s="24"/>
      <c r="J8" s="24"/>
    </row>
    <row r="9" spans="1:10" s="24" customFormat="1" x14ac:dyDescent="0.25">
      <c r="B9" s="114"/>
      <c r="C9" s="115"/>
      <c r="D9" s="145"/>
      <c r="E9" s="144"/>
      <c r="F9" s="144"/>
      <c r="G9" s="145"/>
    </row>
    <row r="10" spans="1:10" x14ac:dyDescent="0.25">
      <c r="A10" t="str">
        <f>'[1]Master Prices'!A30</f>
        <v>Silage ($/ton)</v>
      </c>
      <c r="B10" s="106">
        <v>30.16</v>
      </c>
      <c r="C10" s="116">
        <f>'[1]Master Prices'!C30</f>
        <v>0</v>
      </c>
      <c r="D10" s="107">
        <v>32.528000000000006</v>
      </c>
      <c r="E10" s="117">
        <f>'[1]Master Prices'!E30</f>
        <v>0</v>
      </c>
      <c r="F10" s="111"/>
      <c r="G10" s="108">
        <v>28.4</v>
      </c>
      <c r="H10" s="95" t="s">
        <v>139</v>
      </c>
      <c r="I10" s="24"/>
      <c r="J10" s="24"/>
    </row>
    <row r="11" spans="1:10" x14ac:dyDescent="0.25">
      <c r="A11" t="str">
        <f>'[1]Master Prices'!A31</f>
        <v>Prairie Hay ($/ton)</v>
      </c>
      <c r="B11" s="106">
        <v>60</v>
      </c>
      <c r="C11" s="118">
        <f>'[1]Master Prices'!C31</f>
        <v>0</v>
      </c>
      <c r="D11" s="107">
        <v>64.710875331564992</v>
      </c>
      <c r="E11" s="119">
        <f>'[1]Master Prices'!E31</f>
        <v>0</v>
      </c>
      <c r="F11" s="120"/>
      <c r="G11" s="108">
        <v>56.49867374005305</v>
      </c>
      <c r="H11" s="38" t="s">
        <v>57</v>
      </c>
      <c r="I11" s="24"/>
      <c r="J11" s="24"/>
    </row>
    <row r="12" spans="1:10" x14ac:dyDescent="0.25">
      <c r="A12" t="str">
        <f>'[1]Master Prices'!A32</f>
        <v>Alfalfa ($/ton)</v>
      </c>
      <c r="B12" s="106">
        <v>115</v>
      </c>
      <c r="C12" s="109">
        <f>'[1]Master Prices'!C32</f>
        <v>0</v>
      </c>
      <c r="D12" s="107">
        <v>124.0291777188329</v>
      </c>
      <c r="E12" s="119">
        <f>'[1]Master Prices'!E32</f>
        <v>0</v>
      </c>
      <c r="F12" s="120"/>
      <c r="G12" s="108">
        <v>108.28912466843501</v>
      </c>
      <c r="H12" s="38" t="s">
        <v>57</v>
      </c>
      <c r="I12" s="24"/>
      <c r="J12" s="24"/>
    </row>
    <row r="13" spans="1:10" x14ac:dyDescent="0.25">
      <c r="A13" t="str">
        <f>'[1]Master Prices'!A34</f>
        <v>Pasture Rental ($/acre)</v>
      </c>
      <c r="B13" s="106">
        <v>18.059999999999999</v>
      </c>
      <c r="C13" s="118">
        <f>'[1]Master Prices'!C34</f>
        <v>0</v>
      </c>
      <c r="D13" s="107">
        <v>18.421199999999999</v>
      </c>
      <c r="E13" s="110">
        <f>'[1]Master Prices'!E34</f>
        <v>0</v>
      </c>
      <c r="F13" s="111"/>
      <c r="G13" s="108">
        <v>19.866</v>
      </c>
      <c r="H13" s="38" t="s">
        <v>49</v>
      </c>
      <c r="I13" s="24"/>
      <c r="J13" s="24"/>
    </row>
    <row r="14" spans="1:10" x14ac:dyDescent="0.25">
      <c r="A14" t="str">
        <f>'[1]Master Prices'!A35</f>
        <v>Crop Residue ($/acre)</v>
      </c>
      <c r="B14" s="106">
        <v>15</v>
      </c>
      <c r="C14" s="109">
        <f>'[1]Master Prices'!C35</f>
        <v>0</v>
      </c>
      <c r="D14" s="107">
        <v>15.3</v>
      </c>
      <c r="E14" s="110">
        <f>'[1]Master Prices'!E35</f>
        <v>0</v>
      </c>
      <c r="F14" s="111"/>
      <c r="G14" s="108">
        <v>16.5</v>
      </c>
      <c r="H14" s="38" t="s">
        <v>49</v>
      </c>
      <c r="I14" s="24"/>
      <c r="J14" s="24"/>
    </row>
    <row r="15" spans="1:10" x14ac:dyDescent="0.25">
      <c r="A15" t="str">
        <f>'[1]Master Prices'!A36</f>
        <v>Beef Cow Mineral ($/ton)</v>
      </c>
      <c r="B15" s="106">
        <v>800</v>
      </c>
      <c r="C15" s="109">
        <f>'[1]Master Prices'!C36</f>
        <v>0</v>
      </c>
      <c r="D15" s="107">
        <v>816</v>
      </c>
      <c r="E15" s="110">
        <f>'[1]Master Prices'!E36</f>
        <v>0</v>
      </c>
      <c r="F15" s="111"/>
      <c r="G15" s="108">
        <v>880.00000000000011</v>
      </c>
      <c r="H15" s="38" t="s">
        <v>49</v>
      </c>
      <c r="I15" s="24"/>
      <c r="J15" s="24"/>
    </row>
    <row r="16" spans="1:10" x14ac:dyDescent="0.25">
      <c r="A16" t="str">
        <f>'[1]Master Prices'!A37</f>
        <v>Other Beef Mineral ($/ton)</v>
      </c>
      <c r="B16" s="106">
        <v>550</v>
      </c>
      <c r="C16" s="109">
        <f>'[1]Master Prices'!C37</f>
        <v>0</v>
      </c>
      <c r="D16" s="107">
        <v>561</v>
      </c>
      <c r="E16" s="110">
        <f>'[1]Master Prices'!E37</f>
        <v>0</v>
      </c>
      <c r="F16" s="111"/>
      <c r="G16" s="108">
        <v>605</v>
      </c>
      <c r="H16" s="38" t="s">
        <v>49</v>
      </c>
      <c r="I16" s="24"/>
      <c r="J16" s="24"/>
    </row>
    <row r="17" spans="1:10" s="24" customFormat="1" x14ac:dyDescent="0.25">
      <c r="B17" s="115"/>
      <c r="C17" s="115"/>
      <c r="D17" s="115"/>
      <c r="E17" s="115"/>
      <c r="F17" s="115"/>
      <c r="G17" s="115"/>
      <c r="H17" s="38"/>
    </row>
    <row r="18" spans="1:10" x14ac:dyDescent="0.25">
      <c r="A18" t="str">
        <f>'[1]Master Prices'!A12</f>
        <v>Heifer Calf Price ($/cwt)</v>
      </c>
      <c r="B18" s="106">
        <v>189.01480000000001</v>
      </c>
      <c r="C18" s="121">
        <f>'[1]Master Prices'!C12</f>
        <v>0</v>
      </c>
      <c r="D18" s="107">
        <v>183.53980000000001</v>
      </c>
      <c r="E18" s="119">
        <f>'[1]Master Prices'!E12</f>
        <v>0</v>
      </c>
      <c r="F18" s="120"/>
      <c r="G18" s="108">
        <v>217.07534340665507</v>
      </c>
      <c r="H18" s="38" t="s">
        <v>51</v>
      </c>
      <c r="I18" s="24"/>
      <c r="J18" s="24"/>
    </row>
    <row r="19" spans="1:10" x14ac:dyDescent="0.25">
      <c r="A19" t="str">
        <f>'[1]Master Prices'!A13</f>
        <v>Steer Calves Price ($/cwt)</v>
      </c>
      <c r="B19" s="106">
        <v>206.45964910000001</v>
      </c>
      <c r="C19" s="121">
        <f>'[1]Master Prices'!C13</f>
        <v>0</v>
      </c>
      <c r="D19" s="107">
        <v>200.98464910000001</v>
      </c>
      <c r="E19" s="119">
        <f>'[1]Master Prices'!E13</f>
        <v>0</v>
      </c>
      <c r="F19" s="120"/>
      <c r="G19" s="108">
        <v>237.11</v>
      </c>
      <c r="H19" s="38" t="s">
        <v>21</v>
      </c>
      <c r="I19" s="24"/>
      <c r="J19" s="24"/>
    </row>
    <row r="20" spans="1:10" x14ac:dyDescent="0.25">
      <c r="A20" t="str">
        <f>'[1]Master Prices'!A14</f>
        <v>Feeder Steers ($/cwt)</v>
      </c>
      <c r="B20" s="106">
        <v>180.75</v>
      </c>
      <c r="C20" s="118">
        <f>'[1]Master Prices'!C14</f>
        <v>0</v>
      </c>
      <c r="D20" s="107">
        <v>175.27500000000001</v>
      </c>
      <c r="E20" s="110">
        <f>'[1]Master Prices'!E14</f>
        <v>0</v>
      </c>
      <c r="F20" s="111"/>
      <c r="G20" s="108">
        <v>193.23</v>
      </c>
      <c r="H20" s="38" t="s">
        <v>21</v>
      </c>
      <c r="I20" s="24"/>
      <c r="J20" s="24"/>
    </row>
    <row r="21" spans="1:10" x14ac:dyDescent="0.25">
      <c r="A21" t="str">
        <f>'[1]Master Prices'!A15</f>
        <v>5-area Fed Cattle ($/cwt)</v>
      </c>
      <c r="B21" s="106">
        <v>126.34</v>
      </c>
      <c r="C21" s="109">
        <f>'[1]Master Prices'!C15</f>
        <v>0</v>
      </c>
      <c r="D21" s="107">
        <v>120.36499999999999</v>
      </c>
      <c r="E21" s="110">
        <f>'[1]Master Prices'!E15</f>
        <v>0</v>
      </c>
      <c r="F21" s="111"/>
      <c r="G21" s="108">
        <v>158.41999999999999</v>
      </c>
      <c r="H21" s="39" t="s">
        <v>21</v>
      </c>
      <c r="I21" s="24"/>
      <c r="J21" s="24"/>
    </row>
    <row r="22" spans="1:10" x14ac:dyDescent="0.25">
      <c r="A22" t="str">
        <f>'[1]Master Prices'!A16</f>
        <v>Beef Cull cow ($/cwt)</v>
      </c>
      <c r="B22" s="106">
        <v>75</v>
      </c>
      <c r="C22" s="118">
        <f>'[1]Master Prices'!C16</f>
        <v>0</v>
      </c>
      <c r="D22" s="107">
        <v>71.453023587145793</v>
      </c>
      <c r="E22" s="119">
        <f>'[1]Master Prices'!E16</f>
        <v>0</v>
      </c>
      <c r="F22" s="120"/>
      <c r="G22" s="108">
        <v>94.043849928763635</v>
      </c>
      <c r="H22" s="38" t="s">
        <v>22</v>
      </c>
      <c r="I22" s="24"/>
      <c r="J22" s="24"/>
    </row>
    <row r="23" spans="1:10" x14ac:dyDescent="0.25">
      <c r="B23" s="5"/>
    </row>
    <row r="24" spans="1:10" x14ac:dyDescent="0.25">
      <c r="B24" s="5"/>
    </row>
    <row r="25" spans="1:10" x14ac:dyDescent="0.25">
      <c r="B25" s="5"/>
    </row>
  </sheetData>
  <sheetProtection sheet="1" objects="1" scenarios="1"/>
  <hyperlinks>
    <hyperlink ref="H6" r:id="rId1"/>
    <hyperlink ref="H21" r:id="rId2"/>
    <hyperlink ref="C20" r:id="rId3" display="http://www.ams.usda.gov/mnreports/lspdfss.pdf"/>
    <hyperlink ref="C11" r:id="rId4" display="http://www.ams.usda.gov/mnreports/dc_gr310.txt"/>
    <hyperlink ref="C13" r:id="rId5" display="http://www.nass.usda.gov/Statistics_by_State/Kansas/Publications/County_Estimates/index.asp (Regression adjusted for 2015)"/>
    <hyperlink ref="C22" r:id="rId6" display="http://www.ams.usda.gov/mnreports/lspdfss.pdf"/>
  </hyperlinks>
  <pageMargins left="0.25" right="0.25" top="0.75" bottom="0.75" header="0.3" footer="0.3"/>
  <pageSetup orientation="portrait" horizontalDpi="4294967295" verticalDpi="4294967295"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B1:L31"/>
  <sheetViews>
    <sheetView workbookViewId="0">
      <selection activeCell="H32" sqref="H32"/>
    </sheetView>
  </sheetViews>
  <sheetFormatPr defaultRowHeight="15" x14ac:dyDescent="0.25"/>
  <cols>
    <col min="2" max="2" width="31.140625" customWidth="1"/>
    <col min="3" max="3" width="10.5703125" customWidth="1"/>
    <col min="4" max="5" width="12.28515625" customWidth="1"/>
    <col min="6" max="6" width="15.42578125" customWidth="1"/>
    <col min="8" max="8" width="30.85546875" bestFit="1" customWidth="1"/>
    <col min="12" max="12" width="17.28515625" customWidth="1"/>
  </cols>
  <sheetData>
    <row r="1" spans="2:12" ht="28.5" x14ac:dyDescent="0.45">
      <c r="B1" s="147" t="s">
        <v>110</v>
      </c>
      <c r="C1" s="147"/>
      <c r="D1" s="147"/>
      <c r="E1" s="147"/>
      <c r="F1" s="147"/>
      <c r="G1" s="147"/>
      <c r="H1" s="147"/>
      <c r="I1" s="147"/>
      <c r="J1" s="147"/>
      <c r="K1" s="147"/>
      <c r="L1" s="147"/>
    </row>
    <row r="2" spans="2:12" ht="17.25" customHeight="1" thickBot="1" x14ac:dyDescent="0.3"/>
    <row r="3" spans="2:12" ht="15.75" thickBot="1" x14ac:dyDescent="0.3">
      <c r="B3" s="81" t="s">
        <v>76</v>
      </c>
      <c r="C3" s="82" t="s">
        <v>77</v>
      </c>
      <c r="D3" s="82"/>
      <c r="E3" s="82"/>
      <c r="F3" s="83"/>
      <c r="H3" s="81" t="s">
        <v>78</v>
      </c>
      <c r="I3" s="82" t="s">
        <v>105</v>
      </c>
      <c r="J3" s="82"/>
      <c r="K3" s="82"/>
      <c r="L3" s="83"/>
    </row>
    <row r="4" spans="2:12" x14ac:dyDescent="0.25">
      <c r="B4" s="84"/>
      <c r="C4" s="17" t="s">
        <v>27</v>
      </c>
      <c r="D4" s="17" t="s">
        <v>8</v>
      </c>
      <c r="E4" s="33"/>
      <c r="F4" s="85"/>
      <c r="H4" s="84"/>
      <c r="I4" s="17" t="s">
        <v>27</v>
      </c>
      <c r="J4" s="17" t="s">
        <v>8</v>
      </c>
      <c r="K4" s="33"/>
      <c r="L4" s="85"/>
    </row>
    <row r="5" spans="2:12" x14ac:dyDescent="0.25">
      <c r="B5" s="86" t="s">
        <v>35</v>
      </c>
      <c r="C5" s="122">
        <v>10</v>
      </c>
      <c r="D5" s="87" t="s">
        <v>106</v>
      </c>
      <c r="E5" s="87"/>
      <c r="F5" s="85"/>
      <c r="H5" s="86" t="s">
        <v>35</v>
      </c>
      <c r="I5" s="122">
        <v>4</v>
      </c>
      <c r="J5" s="87" t="s">
        <v>104</v>
      </c>
      <c r="K5" s="33"/>
      <c r="L5" s="85"/>
    </row>
    <row r="6" spans="2:12" x14ac:dyDescent="0.25">
      <c r="B6" s="86" t="s">
        <v>103</v>
      </c>
      <c r="C6" s="122">
        <v>2</v>
      </c>
      <c r="D6" s="87" t="s">
        <v>106</v>
      </c>
      <c r="E6" s="87"/>
      <c r="F6" s="85"/>
      <c r="H6" s="86" t="s">
        <v>37</v>
      </c>
      <c r="I6" s="122">
        <v>0</v>
      </c>
      <c r="J6" s="87" t="s">
        <v>104</v>
      </c>
      <c r="K6" s="33"/>
      <c r="L6" s="85"/>
    </row>
    <row r="7" spans="2:12" x14ac:dyDescent="0.25">
      <c r="B7" s="88" t="s">
        <v>140</v>
      </c>
      <c r="C7" s="123">
        <v>2</v>
      </c>
      <c r="D7" s="87" t="s">
        <v>107</v>
      </c>
      <c r="E7" s="87"/>
      <c r="F7" s="85"/>
      <c r="H7" s="88" t="s">
        <v>140</v>
      </c>
      <c r="I7" s="123">
        <v>0</v>
      </c>
      <c r="J7" s="87" t="s">
        <v>137</v>
      </c>
      <c r="K7" s="33"/>
      <c r="L7" s="85"/>
    </row>
    <row r="8" spans="2:12" x14ac:dyDescent="0.25">
      <c r="B8" s="88" t="s">
        <v>102</v>
      </c>
      <c r="C8" s="123">
        <v>0</v>
      </c>
      <c r="D8" s="87" t="s">
        <v>107</v>
      </c>
      <c r="E8" s="87"/>
      <c r="F8" s="85"/>
      <c r="H8" s="88" t="s">
        <v>102</v>
      </c>
      <c r="I8" s="123">
        <v>0</v>
      </c>
      <c r="J8" s="87" t="s">
        <v>137</v>
      </c>
      <c r="K8" s="33"/>
      <c r="L8" s="85"/>
    </row>
    <row r="9" spans="2:12" x14ac:dyDescent="0.25">
      <c r="B9" s="88" t="s">
        <v>70</v>
      </c>
      <c r="C9" s="123">
        <v>0</v>
      </c>
      <c r="D9" s="87" t="s">
        <v>107</v>
      </c>
      <c r="E9" s="87"/>
      <c r="F9" s="85"/>
      <c r="H9" s="88" t="s">
        <v>70</v>
      </c>
      <c r="I9" s="123">
        <v>0</v>
      </c>
      <c r="J9" s="87" t="s">
        <v>137</v>
      </c>
      <c r="K9" s="33"/>
      <c r="L9" s="85"/>
    </row>
    <row r="10" spans="2:12" x14ac:dyDescent="0.25">
      <c r="B10" s="86" t="s">
        <v>101</v>
      </c>
      <c r="C10" s="89">
        <f>SUM(C7:C9)</f>
        <v>2</v>
      </c>
      <c r="D10" s="87" t="s">
        <v>107</v>
      </c>
      <c r="E10" s="87"/>
      <c r="F10" s="85"/>
      <c r="H10" s="86" t="s">
        <v>101</v>
      </c>
      <c r="I10" s="89">
        <f>SUM(I7:I9)</f>
        <v>0</v>
      </c>
      <c r="J10" s="87" t="s">
        <v>137</v>
      </c>
      <c r="K10" s="33"/>
      <c r="L10" s="85"/>
    </row>
    <row r="11" spans="2:12" x14ac:dyDescent="0.25">
      <c r="B11" s="88" t="s">
        <v>73</v>
      </c>
      <c r="C11" s="122">
        <f>0.16*(3*198)</f>
        <v>95.04</v>
      </c>
      <c r="D11" s="87" t="s">
        <v>108</v>
      </c>
      <c r="E11" s="87"/>
      <c r="F11" s="85"/>
      <c r="H11" s="88" t="s">
        <v>73</v>
      </c>
      <c r="I11" s="123">
        <v>0</v>
      </c>
      <c r="J11" s="87" t="s">
        <v>136</v>
      </c>
      <c r="K11" s="33"/>
      <c r="L11" s="85"/>
    </row>
    <row r="12" spans="2:12" x14ac:dyDescent="0.25">
      <c r="B12" s="88" t="s">
        <v>74</v>
      </c>
      <c r="C12" s="122">
        <f>(3*60)+(0.16*(0.2*198))</f>
        <v>186.33600000000001</v>
      </c>
      <c r="D12" s="87" t="s">
        <v>108</v>
      </c>
      <c r="E12" s="87"/>
      <c r="F12" s="85"/>
      <c r="H12" s="88" t="s">
        <v>74</v>
      </c>
      <c r="I12" s="123">
        <v>0</v>
      </c>
      <c r="J12" s="87" t="s">
        <v>136</v>
      </c>
      <c r="K12" s="33"/>
      <c r="L12" s="85"/>
    </row>
    <row r="13" spans="2:12" x14ac:dyDescent="0.25">
      <c r="B13" s="88" t="s">
        <v>75</v>
      </c>
      <c r="C13" s="122">
        <v>0</v>
      </c>
      <c r="D13" s="87" t="s">
        <v>108</v>
      </c>
      <c r="E13" s="87"/>
      <c r="F13" s="85"/>
      <c r="H13" s="88" t="s">
        <v>75</v>
      </c>
      <c r="I13" s="123">
        <v>0</v>
      </c>
      <c r="J13" s="87" t="s">
        <v>136</v>
      </c>
      <c r="K13" s="33"/>
      <c r="L13" s="85"/>
    </row>
    <row r="14" spans="2:12" x14ac:dyDescent="0.25">
      <c r="B14" s="86" t="s">
        <v>100</v>
      </c>
      <c r="C14" s="100">
        <f>SUM(C11:C13)</f>
        <v>281.37600000000003</v>
      </c>
      <c r="D14" s="87" t="s">
        <v>108</v>
      </c>
      <c r="E14" s="87"/>
      <c r="F14" s="85"/>
      <c r="H14" s="86" t="s">
        <v>100</v>
      </c>
      <c r="I14" s="89">
        <f>SUM(I11:I13)</f>
        <v>0</v>
      </c>
      <c r="J14" s="87" t="s">
        <v>136</v>
      </c>
      <c r="K14" s="33"/>
      <c r="L14" s="85"/>
    </row>
    <row r="15" spans="2:12" ht="15.75" thickBot="1" x14ac:dyDescent="0.3">
      <c r="B15" s="90" t="s">
        <v>58</v>
      </c>
      <c r="C15" s="124">
        <f>(0.25*365)</f>
        <v>91.25</v>
      </c>
      <c r="D15" s="91" t="s">
        <v>108</v>
      </c>
      <c r="E15" s="91"/>
      <c r="F15" s="92"/>
      <c r="H15" s="90" t="s">
        <v>58</v>
      </c>
      <c r="I15" s="126">
        <f>0.25*150</f>
        <v>37.5</v>
      </c>
      <c r="J15" s="91" t="s">
        <v>136</v>
      </c>
      <c r="K15" s="51"/>
      <c r="L15" s="92"/>
    </row>
    <row r="16" spans="2:12" x14ac:dyDescent="0.25">
      <c r="C16" s="31"/>
      <c r="D16" s="7"/>
      <c r="E16" s="7"/>
      <c r="I16" s="75"/>
      <c r="J16" s="7"/>
    </row>
    <row r="17" spans="2:12" ht="15.75" thickBot="1" x14ac:dyDescent="0.3"/>
    <row r="18" spans="2:12" ht="15.75" thickBot="1" x14ac:dyDescent="0.3">
      <c r="B18" s="81" t="s">
        <v>124</v>
      </c>
      <c r="C18" s="82" t="s">
        <v>88</v>
      </c>
      <c r="D18" s="82"/>
      <c r="E18" s="82"/>
      <c r="F18" s="83"/>
      <c r="H18" s="101" t="s">
        <v>131</v>
      </c>
      <c r="I18" s="102" t="s">
        <v>88</v>
      </c>
      <c r="J18" s="102"/>
      <c r="K18" s="102"/>
      <c r="L18" s="93"/>
    </row>
    <row r="19" spans="2:12" x14ac:dyDescent="0.25">
      <c r="B19" s="84"/>
      <c r="C19" s="17" t="s">
        <v>27</v>
      </c>
      <c r="D19" s="17" t="s">
        <v>8</v>
      </c>
      <c r="E19" s="33"/>
      <c r="F19" s="85"/>
      <c r="H19" s="84"/>
      <c r="I19" s="49" t="s">
        <v>27</v>
      </c>
      <c r="J19" s="49" t="s">
        <v>8</v>
      </c>
      <c r="K19" s="33"/>
      <c r="L19" s="85"/>
    </row>
    <row r="20" spans="2:12" x14ac:dyDescent="0.25">
      <c r="B20" s="86" t="s">
        <v>35</v>
      </c>
      <c r="C20" s="122">
        <v>0</v>
      </c>
      <c r="D20" s="87" t="s">
        <v>104</v>
      </c>
      <c r="E20" s="87"/>
      <c r="F20" s="85"/>
      <c r="H20" s="88" t="s">
        <v>140</v>
      </c>
      <c r="I20" s="123">
        <v>1.5</v>
      </c>
      <c r="J20" s="87" t="s">
        <v>72</v>
      </c>
      <c r="K20" s="87"/>
      <c r="L20" s="85"/>
    </row>
    <row r="21" spans="2:12" x14ac:dyDescent="0.25">
      <c r="B21" s="86" t="s">
        <v>37</v>
      </c>
      <c r="C21" s="122">
        <v>0</v>
      </c>
      <c r="D21" s="87" t="s">
        <v>104</v>
      </c>
      <c r="E21" s="87"/>
      <c r="F21" s="85"/>
      <c r="H21" s="88" t="s">
        <v>102</v>
      </c>
      <c r="I21" s="123">
        <v>0</v>
      </c>
      <c r="J21" s="87" t="s">
        <v>72</v>
      </c>
      <c r="K21" s="87"/>
      <c r="L21" s="85"/>
    </row>
    <row r="22" spans="2:12" x14ac:dyDescent="0.25">
      <c r="B22" s="88" t="s">
        <v>140</v>
      </c>
      <c r="C22" s="123">
        <v>3.5</v>
      </c>
      <c r="D22" s="87" t="s">
        <v>72</v>
      </c>
      <c r="E22" s="87"/>
      <c r="F22" s="85"/>
      <c r="H22" s="88" t="s">
        <v>70</v>
      </c>
      <c r="I22" s="123">
        <v>1.5</v>
      </c>
      <c r="J22" s="87" t="s">
        <v>72</v>
      </c>
      <c r="K22" s="87"/>
      <c r="L22" s="85"/>
    </row>
    <row r="23" spans="2:12" x14ac:dyDescent="0.25">
      <c r="B23" s="88" t="s">
        <v>102</v>
      </c>
      <c r="C23" s="123">
        <v>0</v>
      </c>
      <c r="D23" s="87" t="s">
        <v>72</v>
      </c>
      <c r="E23" s="87"/>
      <c r="F23" s="85"/>
      <c r="H23" s="86" t="s">
        <v>101</v>
      </c>
      <c r="I23" s="89">
        <f>SUM(I20:I22)</f>
        <v>3</v>
      </c>
      <c r="J23" s="87" t="s">
        <v>72</v>
      </c>
      <c r="K23" s="87"/>
      <c r="L23" s="85"/>
    </row>
    <row r="24" spans="2:12" x14ac:dyDescent="0.25">
      <c r="B24" s="88" t="s">
        <v>70</v>
      </c>
      <c r="C24" s="123">
        <v>3.5</v>
      </c>
      <c r="D24" s="87" t="s">
        <v>72</v>
      </c>
      <c r="E24" s="87"/>
      <c r="F24" s="85"/>
      <c r="H24" s="88" t="s">
        <v>73</v>
      </c>
      <c r="I24" s="123">
        <v>17</v>
      </c>
      <c r="J24" s="87" t="s">
        <v>72</v>
      </c>
      <c r="K24" s="87"/>
      <c r="L24" s="85"/>
    </row>
    <row r="25" spans="2:12" x14ac:dyDescent="0.25">
      <c r="B25" s="86" t="s">
        <v>101</v>
      </c>
      <c r="C25" s="89">
        <f>SUM(C22:C24)</f>
        <v>7</v>
      </c>
      <c r="D25" s="87" t="s">
        <v>72</v>
      </c>
      <c r="E25" s="87"/>
      <c r="F25" s="85"/>
      <c r="H25" s="88" t="s">
        <v>74</v>
      </c>
      <c r="I25" s="123">
        <v>5</v>
      </c>
      <c r="J25" s="87" t="s">
        <v>72</v>
      </c>
      <c r="K25" s="87"/>
      <c r="L25" s="85"/>
    </row>
    <row r="26" spans="2:12" x14ac:dyDescent="0.25">
      <c r="B26" s="88" t="s">
        <v>73</v>
      </c>
      <c r="C26" s="123">
        <v>7</v>
      </c>
      <c r="D26" s="87" t="s">
        <v>72</v>
      </c>
      <c r="E26" s="87"/>
      <c r="F26" s="85"/>
      <c r="H26" s="88" t="s">
        <v>75</v>
      </c>
      <c r="I26" s="123">
        <v>0</v>
      </c>
      <c r="J26" s="87" t="s">
        <v>72</v>
      </c>
      <c r="K26" s="87"/>
      <c r="L26" s="85"/>
    </row>
    <row r="27" spans="2:12" x14ac:dyDescent="0.25">
      <c r="B27" s="88" t="s">
        <v>74</v>
      </c>
      <c r="C27" s="123">
        <v>7</v>
      </c>
      <c r="D27" s="87" t="s">
        <v>72</v>
      </c>
      <c r="E27" s="87"/>
      <c r="F27" s="85"/>
      <c r="H27" s="86" t="s">
        <v>100</v>
      </c>
      <c r="I27" s="89">
        <f>SUM(I24:I26)</f>
        <v>22</v>
      </c>
      <c r="J27" s="87" t="s">
        <v>72</v>
      </c>
      <c r="K27" s="49"/>
      <c r="L27" s="85"/>
    </row>
    <row r="28" spans="2:12" x14ac:dyDescent="0.25">
      <c r="B28" s="88" t="s">
        <v>75</v>
      </c>
      <c r="C28" s="123">
        <v>0</v>
      </c>
      <c r="D28" s="87" t="s">
        <v>72</v>
      </c>
      <c r="E28" s="87"/>
      <c r="F28" s="85"/>
      <c r="H28" s="86" t="s">
        <v>58</v>
      </c>
      <c r="I28" s="127">
        <v>0.5</v>
      </c>
      <c r="J28" s="87" t="s">
        <v>72</v>
      </c>
      <c r="K28" s="33"/>
      <c r="L28" s="85"/>
    </row>
    <row r="29" spans="2:12" x14ac:dyDescent="0.25">
      <c r="B29" s="86" t="s">
        <v>100</v>
      </c>
      <c r="C29" s="89">
        <f>SUM(C26:C28)</f>
        <v>14</v>
      </c>
      <c r="D29" s="87" t="s">
        <v>72</v>
      </c>
      <c r="E29" s="49"/>
      <c r="F29" s="85"/>
      <c r="H29" s="86"/>
      <c r="I29" s="33"/>
      <c r="J29" s="33"/>
      <c r="K29" s="33"/>
      <c r="L29" s="85"/>
    </row>
    <row r="30" spans="2:12" ht="15.75" thickBot="1" x14ac:dyDescent="0.3">
      <c r="B30" s="90" t="s">
        <v>58</v>
      </c>
      <c r="C30" s="125">
        <v>0.3</v>
      </c>
      <c r="D30" s="91" t="s">
        <v>72</v>
      </c>
      <c r="E30" s="51"/>
      <c r="F30" s="92"/>
      <c r="H30" s="90"/>
      <c r="I30" s="51"/>
      <c r="J30" s="51"/>
      <c r="K30" s="51"/>
      <c r="L30" s="92"/>
    </row>
    <row r="31" spans="2:12" x14ac:dyDescent="0.25">
      <c r="H31" s="33"/>
      <c r="I31" s="33"/>
      <c r="J31" s="33"/>
      <c r="K31" s="33"/>
      <c r="L31" s="33"/>
    </row>
  </sheetData>
  <sheetProtection sheet="1" objects="1" scenarios="1"/>
  <mergeCells count="1">
    <mergeCell ref="B1:L1"/>
  </mergeCells>
  <pageMargins left="0.7" right="0.7" top="0.75" bottom="0.75" header="0.3" footer="0.3"/>
  <pageSetup scale="73"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U136"/>
  <sheetViews>
    <sheetView zoomScale="110" zoomScaleNormal="110" zoomScaleSheetLayoutView="80" workbookViewId="0">
      <selection activeCell="A10" sqref="A10"/>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s>
  <sheetData>
    <row r="1" spans="1:20" ht="22.5" customHeight="1" x14ac:dyDescent="0.25">
      <c r="A1" s="150" t="s">
        <v>56</v>
      </c>
      <c r="B1" s="151"/>
      <c r="C1" s="152" t="s">
        <v>29</v>
      </c>
      <c r="D1" s="152"/>
      <c r="E1" s="152"/>
      <c r="F1" s="152"/>
      <c r="G1" s="153" t="str">
        <f>IF(C1=Prices!B4,TEXT(Prices!B5,"MMM-YYYY"),IF(C1=Prices!D4,TEXT(Prices!D5,"MMM-YYYY"),TEXT(Prices!G5,"MMM-YYYY")))</f>
        <v>(as of December 1, 2015)</v>
      </c>
      <c r="H1" s="153"/>
      <c r="I1" s="153"/>
      <c r="J1" s="153"/>
      <c r="K1" s="76"/>
      <c r="L1" s="24"/>
      <c r="M1" s="24"/>
      <c r="N1" s="24"/>
    </row>
    <row r="2" spans="1:20" x14ac:dyDescent="0.25">
      <c r="A2" s="22"/>
      <c r="B2" s="23"/>
      <c r="C2" s="24"/>
      <c r="D2" s="25"/>
      <c r="E2" s="24"/>
      <c r="F2" s="24"/>
      <c r="G2" s="25"/>
      <c r="H2" s="24"/>
      <c r="I2" s="25"/>
      <c r="J2" s="24"/>
      <c r="K2" s="24"/>
      <c r="L2" s="77" t="s">
        <v>132</v>
      </c>
      <c r="M2" s="78"/>
      <c r="N2" s="78"/>
      <c r="O2" s="78"/>
      <c r="P2" s="78"/>
      <c r="Q2" s="78"/>
      <c r="R2" s="78"/>
      <c r="S2" s="78"/>
      <c r="T2" s="78"/>
    </row>
    <row r="3" spans="1:20" x14ac:dyDescent="0.25">
      <c r="A3" s="12" t="s">
        <v>6</v>
      </c>
      <c r="D3" s="13"/>
      <c r="G3" s="13"/>
      <c r="I3" s="13"/>
      <c r="K3" s="24"/>
      <c r="L3" s="24"/>
      <c r="M3" s="24"/>
      <c r="N3" s="24"/>
    </row>
    <row r="4" spans="1:20" x14ac:dyDescent="0.25">
      <c r="A4" t="s">
        <v>30</v>
      </c>
      <c r="B4" s="128">
        <v>0.89</v>
      </c>
      <c r="D4" s="13"/>
      <c r="G4" s="13"/>
      <c r="I4" s="13"/>
      <c r="K4" s="24"/>
      <c r="L4" s="24"/>
      <c r="M4" s="24"/>
      <c r="N4" s="24"/>
    </row>
    <row r="5" spans="1:20" x14ac:dyDescent="0.25">
      <c r="A5" t="s">
        <v>33</v>
      </c>
      <c r="B5" s="128">
        <v>0.16</v>
      </c>
      <c r="D5" s="13"/>
      <c r="G5" s="13"/>
      <c r="I5" s="13"/>
      <c r="K5" s="24"/>
      <c r="L5" s="24"/>
      <c r="M5" s="24"/>
      <c r="N5" s="24"/>
    </row>
    <row r="6" spans="1:20" x14ac:dyDescent="0.25">
      <c r="B6" s="4"/>
      <c r="D6" s="13"/>
      <c r="G6" s="13"/>
      <c r="I6" s="13"/>
      <c r="K6" s="24"/>
      <c r="L6" s="24"/>
      <c r="M6" s="24"/>
      <c r="N6" s="24"/>
    </row>
    <row r="7" spans="1:20" ht="30" x14ac:dyDescent="0.25">
      <c r="A7" s="17" t="s">
        <v>0</v>
      </c>
      <c r="B7" s="17" t="s">
        <v>7</v>
      </c>
      <c r="C7" s="17" t="s">
        <v>8</v>
      </c>
      <c r="D7" s="17"/>
      <c r="E7" s="17" t="s">
        <v>27</v>
      </c>
      <c r="F7" s="17" t="s">
        <v>8</v>
      </c>
      <c r="G7" s="17"/>
      <c r="H7" s="17"/>
      <c r="I7" s="17"/>
      <c r="J7" s="17" t="s">
        <v>99</v>
      </c>
      <c r="K7" s="24"/>
      <c r="L7" s="24"/>
      <c r="M7" s="24"/>
      <c r="N7" s="24"/>
    </row>
    <row r="8" spans="1:20" x14ac:dyDescent="0.25">
      <c r="A8" t="s">
        <v>98</v>
      </c>
      <c r="B8" s="138">
        <f>0.5*(IF(C1=Prices!A1,Prices!B19,IF(C1=Prices!A2,Prices!D19,IF(C1=Prices!A3,Prices!G19,""))))+0.5*(IF(C1=Prices!A1,Prices!B18,IF(C1=Prices!A2,Prices!D18,IF(C1=Prices!A3,Prices!G18,""))))</f>
        <v>197.73722455000001</v>
      </c>
      <c r="C8" s="7" t="s">
        <v>59</v>
      </c>
      <c r="D8" s="13" t="s">
        <v>10</v>
      </c>
      <c r="E8" s="130">
        <v>550</v>
      </c>
      <c r="F8" s="7" t="s">
        <v>9</v>
      </c>
      <c r="G8" s="13" t="s">
        <v>10</v>
      </c>
      <c r="H8" s="6">
        <f>B4</f>
        <v>0.89</v>
      </c>
      <c r="I8" s="14" t="s">
        <v>11</v>
      </c>
      <c r="J8" s="5">
        <f>B8*(E8/100)*H8</f>
        <v>967.92371417225013</v>
      </c>
      <c r="K8" s="24"/>
      <c r="L8" s="24"/>
      <c r="M8" s="24"/>
      <c r="N8" s="24"/>
    </row>
    <row r="9" spans="1:20" x14ac:dyDescent="0.25">
      <c r="A9" t="s">
        <v>32</v>
      </c>
      <c r="B9" s="138">
        <f>IF(C1=Prices!A1, Prices!B22, IF(C1=Prices!A2, Prices!D22, IF(C1=Prices!A3, Prices!G22, "")))</f>
        <v>75</v>
      </c>
      <c r="C9" s="7" t="s">
        <v>59</v>
      </c>
      <c r="D9" s="13" t="s">
        <v>10</v>
      </c>
      <c r="E9" s="130">
        <v>1250</v>
      </c>
      <c r="F9" s="7" t="s">
        <v>9</v>
      </c>
      <c r="G9" s="13" t="s">
        <v>10</v>
      </c>
      <c r="H9" s="6">
        <f>B5</f>
        <v>0.16</v>
      </c>
      <c r="I9" s="14" t="s">
        <v>11</v>
      </c>
      <c r="J9" s="5">
        <f>B9*(E9/100)*H9</f>
        <v>150</v>
      </c>
      <c r="K9" s="24"/>
      <c r="L9" s="24"/>
      <c r="M9" s="24"/>
      <c r="N9" s="24"/>
    </row>
    <row r="10" spans="1:20" x14ac:dyDescent="0.25">
      <c r="A10" t="s">
        <v>150</v>
      </c>
      <c r="B10" s="2"/>
      <c r="C10" s="7"/>
      <c r="D10" s="13"/>
      <c r="E10" s="4"/>
      <c r="F10" s="7"/>
      <c r="G10" s="13"/>
      <c r="H10" s="6"/>
      <c r="I10" s="14"/>
      <c r="J10" s="2"/>
      <c r="K10" s="24"/>
      <c r="L10" s="24"/>
      <c r="M10" s="24"/>
      <c r="N10" s="24"/>
    </row>
    <row r="11" spans="1:20" x14ac:dyDescent="0.25">
      <c r="A11" s="20" t="s">
        <v>12</v>
      </c>
      <c r="B11" s="15"/>
      <c r="C11" s="15"/>
      <c r="D11" s="16"/>
      <c r="E11" s="15"/>
      <c r="F11" s="15"/>
      <c r="G11" s="16"/>
      <c r="H11" s="15"/>
      <c r="I11" s="16"/>
      <c r="J11" s="18">
        <f>SUM(J8:J10)</f>
        <v>1117.9237141722501</v>
      </c>
      <c r="K11" s="24"/>
      <c r="L11" s="24"/>
      <c r="M11" s="24"/>
      <c r="N11" s="24"/>
    </row>
    <row r="12" spans="1:20" x14ac:dyDescent="0.25">
      <c r="A12" s="9"/>
      <c r="D12" s="13"/>
      <c r="G12" s="13"/>
      <c r="I12" s="13"/>
      <c r="K12" s="24"/>
      <c r="L12" s="24"/>
      <c r="M12" s="24"/>
      <c r="N12" s="24"/>
    </row>
    <row r="13" spans="1:20" x14ac:dyDescent="0.25">
      <c r="A13" s="17" t="s">
        <v>15</v>
      </c>
      <c r="B13" s="15"/>
      <c r="C13" s="15"/>
      <c r="D13" s="16"/>
      <c r="E13" s="15"/>
      <c r="F13" s="15"/>
      <c r="G13" s="16"/>
      <c r="H13" s="15"/>
      <c r="I13" s="16"/>
      <c r="J13" s="15"/>
      <c r="L13" s="24"/>
      <c r="M13" s="24"/>
      <c r="N13" s="24"/>
    </row>
    <row r="14" spans="1:20" x14ac:dyDescent="0.25">
      <c r="A14" t="s">
        <v>35</v>
      </c>
      <c r="B14" s="139">
        <f>IF(C1=Prices!A1, Prices!B13, IF(C1=Prices!A2, Prices!D13, IF(C1=Prices!A3,Prices!G13, "")))</f>
        <v>18.059999999999999</v>
      </c>
      <c r="C14" s="7" t="s">
        <v>38</v>
      </c>
      <c r="D14" s="13" t="s">
        <v>10</v>
      </c>
      <c r="E14" s="50">
        <f>Feed!C5</f>
        <v>10</v>
      </c>
      <c r="F14" s="7" t="s">
        <v>89</v>
      </c>
      <c r="G14" s="13"/>
      <c r="H14" s="6"/>
      <c r="I14" s="14" t="s">
        <v>11</v>
      </c>
      <c r="J14" s="138">
        <f>B14*E14</f>
        <v>180.6</v>
      </c>
      <c r="K14" s="24"/>
      <c r="L14" s="24"/>
      <c r="M14" s="24"/>
      <c r="N14" s="24"/>
    </row>
    <row r="15" spans="1:20" x14ac:dyDescent="0.25">
      <c r="A15" t="s">
        <v>37</v>
      </c>
      <c r="B15" s="139">
        <f>IF(C1=Prices!A1, Prices!B14, IF(C1=Prices!A2, Prices!D14, IF(C1=Prices!A3,Prices!G14, "")))</f>
        <v>15</v>
      </c>
      <c r="C15" s="7" t="s">
        <v>38</v>
      </c>
      <c r="D15" s="13" t="s">
        <v>10</v>
      </c>
      <c r="E15" s="50">
        <f>Feed!C6</f>
        <v>2</v>
      </c>
      <c r="F15" s="7" t="s">
        <v>89</v>
      </c>
      <c r="G15" s="13"/>
      <c r="H15" s="6"/>
      <c r="I15" s="14" t="s">
        <v>11</v>
      </c>
      <c r="J15" s="138">
        <f t="shared" ref="J15" si="0">B15*E15</f>
        <v>30</v>
      </c>
      <c r="K15" s="24"/>
      <c r="L15" s="24"/>
      <c r="M15" s="24"/>
      <c r="N15" s="94"/>
    </row>
    <row r="16" spans="1:20" x14ac:dyDescent="0.25">
      <c r="A16" t="s">
        <v>36</v>
      </c>
      <c r="B16" s="139">
        <f>IF(C1=Prices!A1,(((Feed!C7/Feed!C10)*Prices!B11)+((Feed!C8/Feed!C10)*Prices!B10)+((Feed!C9/Feed!C10)*Prices!B12)),IF(C1=Prices!A2,(((Feed!C7/Feed!C10)*Prices!D11)+((Feed!C8/Feed!C10)*Prices!D10)+((Feed!C9/Feed!C10)*Prices!D12)),IF(C1=Prices!A3,((Feed!C7/Feed!C10)*Prices!G11)+((Feed!C8/Feed!C10)*Prices!G10)+((Feed!C9/Feed!C10)*Prices!G12),"")))</f>
        <v>60</v>
      </c>
      <c r="C16" s="7" t="s">
        <v>39</v>
      </c>
      <c r="D16" s="13" t="s">
        <v>10</v>
      </c>
      <c r="E16" s="62">
        <f>Feed!C10</f>
        <v>2</v>
      </c>
      <c r="F16" s="7" t="s">
        <v>90</v>
      </c>
      <c r="G16" s="13"/>
      <c r="H16" s="6"/>
      <c r="I16" s="14" t="s">
        <v>11</v>
      </c>
      <c r="J16" s="138">
        <f>B16*E16</f>
        <v>120</v>
      </c>
      <c r="K16" s="24"/>
      <c r="L16" s="24"/>
      <c r="M16" s="24"/>
      <c r="N16" s="94"/>
    </row>
    <row r="17" spans="1:21" x14ac:dyDescent="0.25">
      <c r="A17" s="30" t="s">
        <v>41</v>
      </c>
      <c r="B17" s="139">
        <f>IF(C1=Prices!A1,(((Feed!C13/Feed!C14)*Prices!B7)+((Feed!C12/Feed!C14)*Prices!B8)+((Feed!C11/Feed!C14)*(Prices!B6*2000)/56)),IF(C1=Prices!A2,(((Feed!C13/Feed!C14)*Prices!D7)+((Feed!C12/Feed!C14)*Prices!D8)+((Feed!C11/Feed!C14)*(Prices!D6*2000)/56)),IF(C1=Prices!A3,(((Feed!C13/Feed!C14)*Prices!G7)+((Feed!C12/Feed!C14)*Prices!G8)+((Feed!C11/Feed!C14)*(Prices!G6*2000)/56)),"")))</f>
        <v>143.15725983330896</v>
      </c>
      <c r="C17" s="7" t="s">
        <v>39</v>
      </c>
      <c r="D17" s="13" t="s">
        <v>10</v>
      </c>
      <c r="E17" s="50">
        <f>Feed!C14</f>
        <v>281.37600000000003</v>
      </c>
      <c r="F17" s="7" t="s">
        <v>91</v>
      </c>
      <c r="G17" s="13"/>
      <c r="H17" s="6"/>
      <c r="I17" s="14" t="s">
        <v>11</v>
      </c>
      <c r="J17" s="138">
        <f>(B17/2000)*E17</f>
        <v>20.140508571428573</v>
      </c>
      <c r="K17" s="24"/>
      <c r="L17" s="94"/>
      <c r="M17" s="94"/>
      <c r="N17" s="94"/>
      <c r="O17" s="5"/>
    </row>
    <row r="18" spans="1:21" x14ac:dyDescent="0.25">
      <c r="A18" t="s">
        <v>40</v>
      </c>
      <c r="B18" s="139">
        <f>IF(C1=Prices!A1,Prices!B15, IF(C1=Prices!A2,Prices!D15, IF(C1=Prices!A3,Prices!G15, "")))</f>
        <v>800</v>
      </c>
      <c r="C18" s="7" t="s">
        <v>39</v>
      </c>
      <c r="D18" s="13" t="s">
        <v>10</v>
      </c>
      <c r="E18" s="50">
        <f>Feed!C15</f>
        <v>91.25</v>
      </c>
      <c r="F18" s="7" t="s">
        <v>91</v>
      </c>
      <c r="G18" s="13"/>
      <c r="H18" s="6"/>
      <c r="I18" s="14" t="s">
        <v>11</v>
      </c>
      <c r="J18" s="138">
        <f>(B18/2000)*E18</f>
        <v>36.5</v>
      </c>
      <c r="K18" s="94"/>
      <c r="L18" s="24"/>
      <c r="M18" s="24"/>
      <c r="N18" s="24"/>
      <c r="U18" s="5"/>
    </row>
    <row r="19" spans="1:21" x14ac:dyDescent="0.25">
      <c r="A19" t="s">
        <v>151</v>
      </c>
      <c r="B19" s="129">
        <v>0</v>
      </c>
      <c r="C19" s="7" t="s">
        <v>152</v>
      </c>
      <c r="D19" s="137" t="s">
        <v>64</v>
      </c>
      <c r="E19" s="131">
        <v>0</v>
      </c>
      <c r="F19" s="7" t="s">
        <v>153</v>
      </c>
      <c r="G19" s="137"/>
      <c r="H19" s="6"/>
      <c r="I19" s="14" t="s">
        <v>65</v>
      </c>
      <c r="J19" s="129">
        <f>B19*E19</f>
        <v>0</v>
      </c>
      <c r="K19" s="94"/>
      <c r="L19" s="24"/>
      <c r="M19" s="24"/>
      <c r="N19" s="24"/>
      <c r="U19" s="5"/>
    </row>
    <row r="20" spans="1:21" x14ac:dyDescent="0.25">
      <c r="A20" t="s">
        <v>42</v>
      </c>
      <c r="B20" s="129">
        <v>20</v>
      </c>
      <c r="C20" s="7" t="s">
        <v>79</v>
      </c>
      <c r="D20" s="13" t="s">
        <v>64</v>
      </c>
      <c r="E20" s="131">
        <v>5.9</v>
      </c>
      <c r="F20" s="7" t="s">
        <v>111</v>
      </c>
      <c r="G20" s="13"/>
      <c r="H20" s="6"/>
      <c r="I20" s="14" t="s">
        <v>11</v>
      </c>
      <c r="J20" s="129">
        <f>B20*E20</f>
        <v>118</v>
      </c>
      <c r="L20" s="24"/>
      <c r="M20" s="24"/>
      <c r="N20" s="24"/>
    </row>
    <row r="21" spans="1:21" x14ac:dyDescent="0.25">
      <c r="A21" t="s">
        <v>43</v>
      </c>
      <c r="B21" s="2"/>
      <c r="C21" s="7"/>
      <c r="D21" s="13"/>
      <c r="E21" s="4"/>
      <c r="F21" s="7"/>
      <c r="G21" s="13"/>
      <c r="H21" s="6"/>
      <c r="I21" s="14"/>
      <c r="J21" s="129">
        <v>28</v>
      </c>
      <c r="K21" s="24"/>
      <c r="L21" s="24"/>
      <c r="M21" s="24"/>
      <c r="N21" s="24"/>
    </row>
    <row r="22" spans="1:21" x14ac:dyDescent="0.25">
      <c r="A22" s="30" t="s">
        <v>50</v>
      </c>
      <c r="B22" s="129">
        <f>((IF(C1=Prices!A1, Prices!B18, IF(C1=Prices!A2, Prices!D18, IF(C1=Prices!A3,Prices!G18, ""))))/100)*E8</f>
        <v>1039.5814</v>
      </c>
      <c r="C22" s="7" t="s">
        <v>48</v>
      </c>
      <c r="D22" s="13" t="s">
        <v>10</v>
      </c>
      <c r="E22" s="6">
        <f>B5</f>
        <v>0.16</v>
      </c>
      <c r="F22" s="8" t="s">
        <v>26</v>
      </c>
      <c r="G22" s="13"/>
      <c r="I22" s="14" t="s">
        <v>11</v>
      </c>
      <c r="J22" s="11">
        <f>B22*E22</f>
        <v>166.33302399999999</v>
      </c>
      <c r="K22" s="24"/>
      <c r="L22" s="24"/>
      <c r="M22" s="24"/>
      <c r="N22" s="24"/>
    </row>
    <row r="23" spans="1:21" x14ac:dyDescent="0.25">
      <c r="A23" s="30" t="s">
        <v>134</v>
      </c>
      <c r="B23" s="2"/>
      <c r="C23" s="7"/>
      <c r="D23" s="73"/>
      <c r="E23" s="6"/>
      <c r="F23" s="8"/>
      <c r="G23" s="73"/>
      <c r="I23" s="14"/>
      <c r="J23" s="129">
        <f>((6000-1700)/4)*0.04</f>
        <v>43</v>
      </c>
      <c r="K23" s="24"/>
      <c r="L23" s="24"/>
      <c r="M23" s="24"/>
      <c r="N23" s="24"/>
    </row>
    <row r="24" spans="1:21" x14ac:dyDescent="0.25">
      <c r="A24" t="s">
        <v>135</v>
      </c>
      <c r="B24" s="2"/>
      <c r="C24" s="7"/>
      <c r="D24" s="13"/>
      <c r="E24" s="4"/>
      <c r="F24" s="7"/>
      <c r="G24" s="13"/>
      <c r="H24" s="6"/>
      <c r="I24" s="14"/>
      <c r="J24" s="129">
        <v>21</v>
      </c>
      <c r="K24" s="24"/>
      <c r="L24" s="24"/>
      <c r="M24" s="24"/>
      <c r="N24" s="24"/>
    </row>
    <row r="25" spans="1:21" x14ac:dyDescent="0.25">
      <c r="A25" t="s">
        <v>44</v>
      </c>
      <c r="B25" s="2"/>
      <c r="C25" s="7"/>
      <c r="D25" s="13"/>
      <c r="E25" s="4"/>
      <c r="F25" s="7"/>
      <c r="G25" s="13"/>
      <c r="H25" s="6"/>
      <c r="I25" s="14"/>
      <c r="J25" s="129">
        <v>47</v>
      </c>
      <c r="K25" s="24"/>
      <c r="L25" s="24"/>
      <c r="M25" s="24"/>
      <c r="N25" s="24"/>
    </row>
    <row r="26" spans="1:21" x14ac:dyDescent="0.25">
      <c r="A26" t="s">
        <v>81</v>
      </c>
      <c r="B26" s="2"/>
      <c r="C26" s="7"/>
      <c r="D26" s="13"/>
      <c r="E26" s="4"/>
      <c r="F26" s="7"/>
      <c r="G26" s="13"/>
      <c r="H26" s="6"/>
      <c r="I26" s="14"/>
      <c r="J26" s="129">
        <v>52</v>
      </c>
      <c r="K26" s="24"/>
      <c r="L26" s="24"/>
      <c r="M26" s="24"/>
      <c r="N26" s="24"/>
    </row>
    <row r="27" spans="1:21" x14ac:dyDescent="0.25">
      <c r="A27" t="s">
        <v>149</v>
      </c>
      <c r="B27" s="2"/>
      <c r="C27" s="7"/>
      <c r="D27" s="105"/>
      <c r="E27" s="4"/>
      <c r="F27" s="7"/>
      <c r="G27" s="105"/>
      <c r="H27" s="6"/>
      <c r="I27" s="14"/>
      <c r="J27" s="129">
        <v>28</v>
      </c>
      <c r="K27" s="24"/>
      <c r="L27" s="24"/>
      <c r="M27" s="24"/>
      <c r="N27" s="24"/>
    </row>
    <row r="28" spans="1:21" x14ac:dyDescent="0.25">
      <c r="A28" s="15" t="s">
        <v>45</v>
      </c>
      <c r="B28" s="15"/>
      <c r="C28" s="41"/>
      <c r="D28" s="16"/>
      <c r="E28" s="42"/>
      <c r="F28" s="41"/>
      <c r="G28" s="16"/>
      <c r="H28" s="43"/>
      <c r="I28" s="44"/>
      <c r="J28" s="132">
        <v>21</v>
      </c>
      <c r="K28" s="24"/>
      <c r="L28" s="24"/>
      <c r="M28" s="24"/>
      <c r="N28" s="24"/>
    </row>
    <row r="29" spans="1:21" x14ac:dyDescent="0.25">
      <c r="A29" s="9" t="s">
        <v>19</v>
      </c>
      <c r="D29" s="13"/>
      <c r="G29" s="13"/>
      <c r="I29" s="13"/>
      <c r="J29" s="10">
        <f>SUM(J14:J28)</f>
        <v>911.57353257142859</v>
      </c>
      <c r="K29" s="24"/>
      <c r="L29" s="24"/>
      <c r="M29" s="24"/>
      <c r="N29" s="24"/>
    </row>
    <row r="30" spans="1:21" x14ac:dyDescent="0.25">
      <c r="D30" s="13"/>
      <c r="G30" s="13"/>
      <c r="I30" s="13"/>
      <c r="K30" s="24"/>
      <c r="L30" s="24"/>
      <c r="M30" s="24"/>
      <c r="N30" s="24"/>
    </row>
    <row r="31" spans="1:21" x14ac:dyDescent="0.25">
      <c r="A31" s="17" t="s">
        <v>16</v>
      </c>
      <c r="B31" s="15"/>
      <c r="C31" s="15"/>
      <c r="D31" s="16"/>
      <c r="E31" s="15"/>
      <c r="F31" s="15"/>
      <c r="G31" s="16"/>
      <c r="H31" s="15"/>
      <c r="I31" s="16"/>
      <c r="J31" s="15"/>
      <c r="K31" s="24"/>
      <c r="L31" s="24"/>
      <c r="M31" s="24"/>
      <c r="N31" s="24"/>
    </row>
    <row r="32" spans="1:21" x14ac:dyDescent="0.25">
      <c r="A32" t="s">
        <v>46</v>
      </c>
      <c r="D32" s="13"/>
      <c r="G32" s="13"/>
      <c r="I32" s="13"/>
      <c r="J32" s="129">
        <v>43</v>
      </c>
      <c r="K32" s="24"/>
      <c r="L32" s="24"/>
      <c r="M32" s="24"/>
      <c r="N32" s="24"/>
    </row>
    <row r="33" spans="1:17" x14ac:dyDescent="0.25">
      <c r="A33" t="s">
        <v>85</v>
      </c>
      <c r="D33" s="13"/>
      <c r="G33" s="13"/>
      <c r="I33" s="13"/>
      <c r="J33" s="129">
        <v>7</v>
      </c>
      <c r="K33" s="24"/>
      <c r="L33" s="24"/>
      <c r="M33" s="24"/>
      <c r="N33" s="24"/>
    </row>
    <row r="34" spans="1:17" x14ac:dyDescent="0.25">
      <c r="A34" t="s">
        <v>83</v>
      </c>
      <c r="D34" s="45"/>
      <c r="G34" s="45"/>
      <c r="I34" s="45"/>
      <c r="J34" s="129">
        <v>13</v>
      </c>
      <c r="K34" s="55"/>
      <c r="L34" s="24"/>
      <c r="M34" s="24"/>
      <c r="N34" s="24"/>
    </row>
    <row r="35" spans="1:17" x14ac:dyDescent="0.25">
      <c r="A35" s="33" t="s">
        <v>82</v>
      </c>
      <c r="B35" s="33"/>
      <c r="C35" s="33"/>
      <c r="D35" s="34"/>
      <c r="E35" s="33"/>
      <c r="F35" s="33"/>
      <c r="G35" s="34"/>
      <c r="H35" s="33"/>
      <c r="I35" s="34"/>
      <c r="J35" s="133">
        <v>122</v>
      </c>
      <c r="K35" s="24"/>
      <c r="L35" s="24"/>
      <c r="M35" s="24"/>
      <c r="N35" s="24"/>
    </row>
    <row r="36" spans="1:17" x14ac:dyDescent="0.25">
      <c r="A36" s="56" t="s">
        <v>97</v>
      </c>
      <c r="B36" s="15"/>
      <c r="C36" s="15"/>
      <c r="D36" s="16"/>
      <c r="E36" s="15"/>
      <c r="F36" s="15"/>
      <c r="G36" s="16"/>
      <c r="H36" s="15"/>
      <c r="I36" s="16"/>
      <c r="J36" s="132">
        <v>0</v>
      </c>
      <c r="K36" s="24"/>
      <c r="L36" s="24"/>
      <c r="M36" s="24"/>
      <c r="N36" s="24"/>
    </row>
    <row r="37" spans="1:17" x14ac:dyDescent="0.25">
      <c r="A37" s="9" t="s">
        <v>17</v>
      </c>
      <c r="D37" s="13"/>
      <c r="G37" s="13"/>
      <c r="I37" s="13"/>
      <c r="J37" s="10">
        <f>SUM(J32:J35)</f>
        <v>185</v>
      </c>
      <c r="K37" s="24"/>
      <c r="L37" s="24"/>
      <c r="M37" s="24"/>
      <c r="N37" s="24"/>
    </row>
    <row r="38" spans="1:17" ht="15" customHeight="1" x14ac:dyDescent="0.25">
      <c r="D38" s="13"/>
      <c r="G38" s="13"/>
      <c r="I38" s="13"/>
      <c r="K38" s="24"/>
      <c r="L38" s="24"/>
      <c r="M38" s="24"/>
      <c r="N38" s="24"/>
    </row>
    <row r="39" spans="1:17" x14ac:dyDescent="0.25">
      <c r="A39" s="17" t="s">
        <v>18</v>
      </c>
      <c r="B39" s="15"/>
      <c r="C39" s="15"/>
      <c r="D39" s="16"/>
      <c r="E39" s="15"/>
      <c r="F39" s="15"/>
      <c r="G39" s="16"/>
      <c r="H39" s="15"/>
      <c r="I39" s="16"/>
      <c r="J39" s="18">
        <f>J29+J37</f>
        <v>1096.5735325714286</v>
      </c>
      <c r="K39" s="24"/>
      <c r="L39" s="24"/>
      <c r="M39" s="24"/>
      <c r="N39" s="24"/>
    </row>
    <row r="40" spans="1:17" x14ac:dyDescent="0.25">
      <c r="A40" s="32"/>
      <c r="B40" s="33"/>
      <c r="C40" s="33"/>
      <c r="D40" s="34"/>
      <c r="E40" s="33"/>
      <c r="F40" s="33"/>
      <c r="G40" s="34"/>
      <c r="H40" s="33"/>
      <c r="I40" s="34"/>
      <c r="J40" s="19"/>
    </row>
    <row r="41" spans="1:17" x14ac:dyDescent="0.25">
      <c r="A41" t="s">
        <v>47</v>
      </c>
      <c r="D41" s="13"/>
      <c r="G41" s="13"/>
      <c r="I41" s="13"/>
      <c r="J41" s="5">
        <f>J11-J29</f>
        <v>206.35018160082154</v>
      </c>
      <c r="Q41" s="33"/>
    </row>
    <row r="42" spans="1:17" ht="15.75" thickBot="1" x14ac:dyDescent="0.3">
      <c r="A42" s="3" t="s">
        <v>20</v>
      </c>
      <c r="D42" s="13"/>
      <c r="G42" s="13"/>
      <c r="I42" s="13"/>
      <c r="J42" s="26">
        <f>J11-J39</f>
        <v>21.350181600821543</v>
      </c>
      <c r="Q42" s="33"/>
    </row>
    <row r="43" spans="1:17" ht="10.5" customHeight="1" thickTop="1" x14ac:dyDescent="0.25"/>
    <row r="44" spans="1:17" ht="11.25" customHeight="1" x14ac:dyDescent="0.25">
      <c r="A44" s="32"/>
      <c r="B44" s="33"/>
      <c r="C44" s="33"/>
      <c r="D44" s="34"/>
      <c r="E44" s="33"/>
      <c r="F44" s="33"/>
      <c r="G44" s="34"/>
      <c r="H44" s="33"/>
      <c r="I44" s="34"/>
      <c r="J44" s="19"/>
    </row>
    <row r="45" spans="1:17" x14ac:dyDescent="0.25">
      <c r="A45" s="148" t="s">
        <v>60</v>
      </c>
      <c r="B45" s="149"/>
      <c r="C45" s="149"/>
      <c r="D45" s="149"/>
      <c r="E45" s="149"/>
      <c r="F45" s="149"/>
      <c r="G45" s="149"/>
      <c r="H45" s="149"/>
      <c r="I45" s="149"/>
      <c r="J45" s="149"/>
    </row>
    <row r="46" spans="1:17" ht="16.5" customHeight="1" x14ac:dyDescent="0.25">
      <c r="A46" s="36" t="s">
        <v>61</v>
      </c>
      <c r="B46" s="36"/>
      <c r="C46" s="36"/>
      <c r="D46" s="36"/>
      <c r="E46" s="36"/>
      <c r="F46" s="36"/>
      <c r="G46" s="36"/>
      <c r="H46" s="36"/>
      <c r="I46" s="36"/>
      <c r="J46" s="36" t="str">
        <f>TEXT(Notes!D2,"MMM. DD, YYYY")</f>
        <v>Dec. 01, 2015</v>
      </c>
    </row>
    <row r="47" spans="1:17" ht="22.5" customHeight="1" x14ac:dyDescent="0.25">
      <c r="B47" s="40"/>
    </row>
    <row r="48" spans="1:17" ht="27" customHeight="1" thickBot="1" x14ac:dyDescent="0.35">
      <c r="A48" s="154" t="s">
        <v>56</v>
      </c>
      <c r="B48" s="155"/>
      <c r="C48" s="156"/>
      <c r="D48" s="156"/>
      <c r="E48" s="156"/>
      <c r="F48" s="156"/>
      <c r="G48" s="157"/>
      <c r="H48" s="157"/>
      <c r="I48" s="157"/>
      <c r="J48" s="157"/>
    </row>
    <row r="90" spans="1:10" ht="12.75" customHeight="1" x14ac:dyDescent="0.25"/>
    <row r="91" spans="1:10" ht="17.25" customHeight="1" x14ac:dyDescent="0.25"/>
    <row r="92" spans="1:10" x14ac:dyDescent="0.25">
      <c r="A92" s="148" t="s">
        <v>60</v>
      </c>
      <c r="B92" s="149"/>
      <c r="C92" s="149"/>
      <c r="D92" s="149"/>
      <c r="E92" s="149"/>
      <c r="F92" s="149"/>
      <c r="G92" s="149"/>
      <c r="H92" s="149"/>
      <c r="I92" s="149"/>
      <c r="J92" s="149"/>
    </row>
    <row r="93" spans="1:10" ht="16.5" customHeight="1" x14ac:dyDescent="0.25">
      <c r="A93" s="36" t="s">
        <v>61</v>
      </c>
      <c r="B93" s="36"/>
      <c r="C93" s="36"/>
      <c r="D93" s="36"/>
      <c r="E93" s="36"/>
      <c r="F93" s="36"/>
      <c r="G93" s="36"/>
      <c r="H93" s="36"/>
      <c r="I93" s="36"/>
      <c r="J93" s="36" t="str">
        <f>J46</f>
        <v>Dec. 01, 2015</v>
      </c>
    </row>
    <row r="94" spans="1:10" ht="22.5" customHeight="1" x14ac:dyDescent="0.25">
      <c r="A94" s="68"/>
      <c r="B94" s="68"/>
      <c r="C94" s="68"/>
      <c r="D94" s="68"/>
      <c r="E94" s="68"/>
      <c r="F94" s="68"/>
      <c r="G94" s="68"/>
      <c r="H94" s="68"/>
      <c r="I94" s="68"/>
      <c r="J94" s="68"/>
    </row>
    <row r="95" spans="1:10" ht="27" customHeight="1" thickBot="1" x14ac:dyDescent="0.35">
      <c r="A95" s="154" t="s">
        <v>56</v>
      </c>
      <c r="B95" s="155"/>
      <c r="C95" s="156"/>
      <c r="D95" s="156"/>
      <c r="E95" s="156"/>
      <c r="F95" s="156"/>
      <c r="G95" s="157"/>
      <c r="H95" s="157"/>
      <c r="I95" s="157"/>
      <c r="J95" s="157"/>
    </row>
    <row r="96" spans="1:10" ht="15.75" x14ac:dyDescent="0.25">
      <c r="A96" s="69" t="s">
        <v>112</v>
      </c>
    </row>
    <row r="98" spans="1:5" ht="15.75" thickBot="1" x14ac:dyDescent="0.3">
      <c r="A98" s="52" t="s">
        <v>76</v>
      </c>
      <c r="B98" s="51" t="s">
        <v>77</v>
      </c>
      <c r="C98" s="51"/>
      <c r="D98" s="51"/>
      <c r="E98" s="51"/>
    </row>
    <row r="99" spans="1:5" x14ac:dyDescent="0.25">
      <c r="A99" s="32"/>
      <c r="B99" s="17" t="s">
        <v>27</v>
      </c>
      <c r="C99" s="17" t="s">
        <v>8</v>
      </c>
      <c r="D99" s="33"/>
      <c r="E99" s="33"/>
    </row>
    <row r="100" spans="1:5" x14ac:dyDescent="0.25">
      <c r="A100" t="s">
        <v>35</v>
      </c>
      <c r="B100" s="50">
        <f>Feed!C5</f>
        <v>10</v>
      </c>
      <c r="C100" s="7" t="s">
        <v>106</v>
      </c>
      <c r="D100" s="7"/>
    </row>
    <row r="101" spans="1:5" x14ac:dyDescent="0.25">
      <c r="A101" t="s">
        <v>103</v>
      </c>
      <c r="B101" s="62">
        <f>Feed!C6</f>
        <v>2</v>
      </c>
      <c r="C101" s="7" t="s">
        <v>106</v>
      </c>
      <c r="D101" s="7"/>
    </row>
    <row r="102" spans="1:5" x14ac:dyDescent="0.25">
      <c r="A102" s="48" t="s">
        <v>140</v>
      </c>
      <c r="B102" s="62">
        <f>Feed!C7</f>
        <v>2</v>
      </c>
      <c r="C102" s="7" t="s">
        <v>107</v>
      </c>
      <c r="D102" s="7"/>
    </row>
    <row r="103" spans="1:5" x14ac:dyDescent="0.25">
      <c r="A103" s="48" t="s">
        <v>102</v>
      </c>
      <c r="B103" s="62">
        <f>Feed!C8</f>
        <v>0</v>
      </c>
      <c r="C103" s="7" t="s">
        <v>107</v>
      </c>
      <c r="D103" s="7"/>
    </row>
    <row r="104" spans="1:5" x14ac:dyDescent="0.25">
      <c r="A104" s="48" t="s">
        <v>70</v>
      </c>
      <c r="B104" s="62">
        <f>Feed!C9</f>
        <v>0</v>
      </c>
      <c r="C104" s="7" t="s">
        <v>107</v>
      </c>
      <c r="D104" s="7"/>
    </row>
    <row r="105" spans="1:5" x14ac:dyDescent="0.25">
      <c r="A105" t="s">
        <v>101</v>
      </c>
      <c r="B105" s="62">
        <f>Feed!C10</f>
        <v>2</v>
      </c>
      <c r="C105" s="7" t="s">
        <v>107</v>
      </c>
      <c r="D105" s="7"/>
    </row>
    <row r="106" spans="1:5" x14ac:dyDescent="0.25">
      <c r="A106" s="48" t="s">
        <v>73</v>
      </c>
      <c r="B106" s="50">
        <f>Feed!C11</f>
        <v>95.04</v>
      </c>
      <c r="C106" s="7" t="s">
        <v>108</v>
      </c>
      <c r="D106" s="7"/>
    </row>
    <row r="107" spans="1:5" x14ac:dyDescent="0.25">
      <c r="A107" s="48" t="s">
        <v>74</v>
      </c>
      <c r="B107" s="50">
        <f>Feed!C12</f>
        <v>186.33600000000001</v>
      </c>
      <c r="C107" s="7" t="s">
        <v>108</v>
      </c>
      <c r="D107" s="7"/>
    </row>
    <row r="108" spans="1:5" x14ac:dyDescent="0.25">
      <c r="A108" s="48" t="s">
        <v>75</v>
      </c>
      <c r="B108" s="50">
        <f>Feed!C13</f>
        <v>0</v>
      </c>
      <c r="C108" s="7" t="s">
        <v>108</v>
      </c>
      <c r="D108" s="7"/>
    </row>
    <row r="109" spans="1:5" x14ac:dyDescent="0.25">
      <c r="A109" t="s">
        <v>100</v>
      </c>
      <c r="B109" s="50">
        <f>Feed!C14</f>
        <v>281.37600000000003</v>
      </c>
      <c r="C109" s="7" t="s">
        <v>108</v>
      </c>
      <c r="D109" s="7"/>
    </row>
    <row r="110" spans="1:5" x14ac:dyDescent="0.25">
      <c r="A110" t="s">
        <v>58</v>
      </c>
      <c r="B110" s="50">
        <f>Feed!C15</f>
        <v>91.25</v>
      </c>
      <c r="C110" s="7" t="s">
        <v>108</v>
      </c>
      <c r="D110" s="7"/>
    </row>
    <row r="115" spans="1:6" ht="15.75" thickBot="1" x14ac:dyDescent="0.3">
      <c r="A115" s="52" t="s">
        <v>145</v>
      </c>
      <c r="B115" s="51"/>
      <c r="C115" s="51"/>
      <c r="D115" s="51"/>
      <c r="E115" s="51"/>
      <c r="F115" s="51"/>
    </row>
    <row r="116" spans="1:6" ht="30" customHeight="1" x14ac:dyDescent="0.25">
      <c r="A116" s="64"/>
      <c r="B116" s="66" t="s">
        <v>113</v>
      </c>
      <c r="C116" s="160" t="s">
        <v>114</v>
      </c>
      <c r="D116" s="160"/>
      <c r="E116" s="161" t="s">
        <v>115</v>
      </c>
      <c r="F116" s="161"/>
    </row>
    <row r="117" spans="1:6" x14ac:dyDescent="0.25">
      <c r="A117" t="s">
        <v>117</v>
      </c>
      <c r="B117" s="65">
        <f>Prices!B18</f>
        <v>189.01480000000001</v>
      </c>
      <c r="C117" s="158">
        <f>Prices!D18</f>
        <v>183.53980000000001</v>
      </c>
      <c r="D117" s="159"/>
      <c r="E117" s="158">
        <f>Prices!G18</f>
        <v>217.07534340665507</v>
      </c>
      <c r="F117" s="159"/>
    </row>
    <row r="118" spans="1:6" x14ac:dyDescent="0.25">
      <c r="A118" t="s">
        <v>120</v>
      </c>
      <c r="B118" s="65">
        <f>Prices!B19</f>
        <v>206.45964910000001</v>
      </c>
      <c r="C118" s="158">
        <f>Prices!D19</f>
        <v>200.98464910000001</v>
      </c>
      <c r="D118" s="159"/>
      <c r="E118" s="158">
        <f>Prices!G19</f>
        <v>237.11</v>
      </c>
      <c r="F118" s="159"/>
    </row>
    <row r="119" spans="1:6" x14ac:dyDescent="0.25">
      <c r="A119" t="s">
        <v>119</v>
      </c>
      <c r="B119" s="65">
        <f>Prices!B22</f>
        <v>75</v>
      </c>
      <c r="C119" s="158">
        <f>Prices!D22</f>
        <v>71.453023587145793</v>
      </c>
      <c r="D119" s="159"/>
      <c r="E119" s="158">
        <f>Prices!G22</f>
        <v>94.043849928763635</v>
      </c>
      <c r="F119" s="159"/>
    </row>
    <row r="120" spans="1:6" x14ac:dyDescent="0.25">
      <c r="A120" t="s">
        <v>13</v>
      </c>
      <c r="B120" s="65">
        <f>Prices!B6</f>
        <v>3.77</v>
      </c>
      <c r="C120" s="158">
        <f>Prices!D6</f>
        <v>4.0660000000000007</v>
      </c>
      <c r="D120" s="159"/>
      <c r="E120" s="158">
        <f>Prices!G6</f>
        <v>3.55</v>
      </c>
      <c r="F120" s="159"/>
    </row>
    <row r="121" spans="1:6" x14ac:dyDescent="0.25">
      <c r="A121" t="s">
        <v>14</v>
      </c>
      <c r="B121" s="65">
        <f>Prices!B7</f>
        <v>281.60000000000002</v>
      </c>
      <c r="C121" s="158">
        <f>Prices!D7</f>
        <v>291.7</v>
      </c>
      <c r="D121" s="159"/>
      <c r="E121" s="158">
        <f>Prices!G7</f>
        <v>326</v>
      </c>
      <c r="F121" s="159"/>
    </row>
    <row r="122" spans="1:6" x14ac:dyDescent="0.25">
      <c r="A122" t="s">
        <v>116</v>
      </c>
      <c r="B122" s="65">
        <f>Prices!B8</f>
        <v>147.5</v>
      </c>
      <c r="C122" s="158">
        <f>Prices!D8</f>
        <v>159.08090185676394</v>
      </c>
      <c r="D122" s="159"/>
      <c r="E122" s="158">
        <f>Prices!G8</f>
        <v>138.89257294429709</v>
      </c>
      <c r="F122" s="159"/>
    </row>
    <row r="123" spans="1:6" x14ac:dyDescent="0.25">
      <c r="A123" t="s">
        <v>109</v>
      </c>
      <c r="B123" s="65">
        <f>Prices!B10</f>
        <v>30.16</v>
      </c>
      <c r="C123" s="158">
        <f>Prices!D10</f>
        <v>32.528000000000006</v>
      </c>
      <c r="D123" s="159"/>
      <c r="E123" s="158">
        <f>Prices!G10</f>
        <v>28.4</v>
      </c>
      <c r="F123" s="159"/>
    </row>
    <row r="124" spans="1:6" x14ac:dyDescent="0.25">
      <c r="A124" t="s">
        <v>143</v>
      </c>
      <c r="B124" s="65">
        <f>Prices!B11</f>
        <v>60</v>
      </c>
      <c r="C124" s="158">
        <f>Prices!D11</f>
        <v>64.710875331564992</v>
      </c>
      <c r="D124" s="159"/>
      <c r="E124" s="158">
        <f>Prices!G11</f>
        <v>56.49867374005305</v>
      </c>
      <c r="F124" s="159"/>
    </row>
    <row r="125" spans="1:6" x14ac:dyDescent="0.25">
      <c r="A125" t="s">
        <v>93</v>
      </c>
      <c r="B125" s="65">
        <f>Prices!B12</f>
        <v>115</v>
      </c>
      <c r="C125" s="158">
        <f>Prices!D12</f>
        <v>124.0291777188329</v>
      </c>
      <c r="D125" s="159"/>
      <c r="E125" s="158">
        <f>Prices!G12</f>
        <v>108.28912466843501</v>
      </c>
      <c r="F125" s="159"/>
    </row>
    <row r="126" spans="1:6" x14ac:dyDescent="0.25">
      <c r="A126" t="s">
        <v>94</v>
      </c>
      <c r="B126" s="65">
        <f>Prices!B13</f>
        <v>18.059999999999999</v>
      </c>
      <c r="C126" s="158">
        <f>Prices!D13</f>
        <v>18.421199999999999</v>
      </c>
      <c r="D126" s="159"/>
      <c r="E126" s="158">
        <f>Prices!G13</f>
        <v>19.866</v>
      </c>
      <c r="F126" s="159"/>
    </row>
    <row r="127" spans="1:6" x14ac:dyDescent="0.25">
      <c r="A127" t="s">
        <v>95</v>
      </c>
      <c r="B127" s="65">
        <f>Prices!B14</f>
        <v>15</v>
      </c>
      <c r="C127" s="158">
        <f>Prices!D14</f>
        <v>15.3</v>
      </c>
      <c r="D127" s="159"/>
      <c r="E127" s="158">
        <f>Prices!G14</f>
        <v>16.5</v>
      </c>
      <c r="F127" s="159"/>
    </row>
    <row r="128" spans="1:6" x14ac:dyDescent="0.25">
      <c r="A128" t="s">
        <v>96</v>
      </c>
      <c r="B128" s="65">
        <f>Prices!B15</f>
        <v>800</v>
      </c>
      <c r="C128" s="158">
        <f>Prices!D15</f>
        <v>816</v>
      </c>
      <c r="D128" s="159"/>
      <c r="E128" s="158">
        <f>Prices!G15</f>
        <v>880.00000000000011</v>
      </c>
      <c r="F128" s="159"/>
    </row>
    <row r="129" spans="1:10" x14ac:dyDescent="0.25">
      <c r="B129" s="65"/>
      <c r="C129" s="67"/>
      <c r="D129" s="34"/>
      <c r="E129" s="67"/>
      <c r="F129" s="34"/>
    </row>
    <row r="130" spans="1:10" ht="18" customHeight="1" x14ac:dyDescent="0.25">
      <c r="B130" s="65"/>
      <c r="C130" s="67"/>
      <c r="D130" s="34"/>
      <c r="E130" s="67"/>
      <c r="F130" s="34"/>
    </row>
    <row r="131" spans="1:10" ht="12" customHeight="1" x14ac:dyDescent="0.25">
      <c r="B131" s="65"/>
      <c r="C131" s="67"/>
      <c r="D131" s="34"/>
      <c r="E131" s="67"/>
      <c r="F131" s="34"/>
    </row>
    <row r="132" spans="1:10" x14ac:dyDescent="0.25">
      <c r="B132" s="65"/>
      <c r="C132" s="67"/>
      <c r="D132" s="34"/>
      <c r="E132" s="67"/>
      <c r="F132" s="34"/>
    </row>
    <row r="133" spans="1:10" ht="63" customHeight="1" x14ac:dyDescent="0.25">
      <c r="B133" s="65"/>
      <c r="C133" s="67"/>
      <c r="D133" s="34"/>
      <c r="E133" s="67"/>
      <c r="F133" s="34"/>
    </row>
    <row r="134" spans="1:10" ht="15.75" customHeight="1" x14ac:dyDescent="0.25"/>
    <row r="135" spans="1:10" x14ac:dyDescent="0.25">
      <c r="A135" s="148" t="s">
        <v>60</v>
      </c>
      <c r="B135" s="149"/>
      <c r="C135" s="149"/>
      <c r="D135" s="149"/>
      <c r="E135" s="149"/>
      <c r="F135" s="149"/>
      <c r="G135" s="149"/>
      <c r="H135" s="149"/>
      <c r="I135" s="149"/>
      <c r="J135" s="149"/>
    </row>
    <row r="136" spans="1:10" ht="15.75" x14ac:dyDescent="0.25">
      <c r="A136" s="36" t="s">
        <v>61</v>
      </c>
      <c r="B136" s="36"/>
      <c r="C136" s="36"/>
      <c r="D136" s="36"/>
      <c r="E136" s="36"/>
      <c r="F136" s="36"/>
      <c r="G136" s="36"/>
      <c r="H136" s="36"/>
      <c r="I136" s="36"/>
      <c r="J136" s="36" t="str">
        <f>J93</f>
        <v>Dec. 01, 2015</v>
      </c>
    </row>
  </sheetData>
  <sheetProtection sheet="1" objects="1" scenarios="1"/>
  <mergeCells count="38">
    <mergeCell ref="E127:F127"/>
    <mergeCell ref="E128:F128"/>
    <mergeCell ref="C125:D125"/>
    <mergeCell ref="C126:D126"/>
    <mergeCell ref="C127:D127"/>
    <mergeCell ref="C128:D128"/>
    <mergeCell ref="E125:F125"/>
    <mergeCell ref="E126:F126"/>
    <mergeCell ref="E120:F120"/>
    <mergeCell ref="E121:F121"/>
    <mergeCell ref="E122:F122"/>
    <mergeCell ref="E123:F123"/>
    <mergeCell ref="E124:F124"/>
    <mergeCell ref="C119:D119"/>
    <mergeCell ref="A95:B95"/>
    <mergeCell ref="C95:F95"/>
    <mergeCell ref="G95:J95"/>
    <mergeCell ref="C116:D116"/>
    <mergeCell ref="E116:F116"/>
    <mergeCell ref="E117:F117"/>
    <mergeCell ref="E118:F118"/>
    <mergeCell ref="E119:F119"/>
    <mergeCell ref="A135:J135"/>
    <mergeCell ref="A45:J45"/>
    <mergeCell ref="A1:B1"/>
    <mergeCell ref="C1:F1"/>
    <mergeCell ref="G1:J1"/>
    <mergeCell ref="A92:J92"/>
    <mergeCell ref="A48:B48"/>
    <mergeCell ref="C48:F48"/>
    <mergeCell ref="G48:J48"/>
    <mergeCell ref="C120:D120"/>
    <mergeCell ref="C121:D121"/>
    <mergeCell ref="C122:D122"/>
    <mergeCell ref="C123:D123"/>
    <mergeCell ref="C124:D124"/>
    <mergeCell ref="C117:D117"/>
    <mergeCell ref="C118:D118"/>
  </mergeCells>
  <dataValidations count="1">
    <dataValidation type="list" showInputMessage="1" showErrorMessage="1" prompt="Select a price horizon to budget from" sqref="C1">
      <formula1>price_selections</formula1>
    </dataValidation>
  </dataValidations>
  <pageMargins left="0.25" right="0.25" top="0.75" bottom="0.5" header="0.3" footer="0"/>
  <pageSetup scale="98" orientation="portrait" horizontalDpi="4294967295" verticalDpi="4294967295" r:id="rId1"/>
  <headerFooter scaleWithDoc="0">
    <oddHeader xml:space="preserve">&amp;L&amp;"-,Bold"&amp;20FARM MANAGEMENT GUIDE &amp;"-,Regular"        
</oddHeader>
  </headerFooter>
  <rowBreaks count="2" manualBreakCount="2">
    <brk id="47" max="9"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2" r:id="rId4" name="Button 6">
              <controlPr defaultSize="0" print="0" autoFill="0" autoPict="0" macro="[0]!PrintCowCalfBudget">
                <anchor moveWithCells="1" sizeWithCells="1">
                  <from>
                    <xdr:col>11</xdr:col>
                    <xdr:colOff>9525</xdr:colOff>
                    <xdr:row>3</xdr:row>
                    <xdr:rowOff>66675</xdr:rowOff>
                  </from>
                  <to>
                    <xdr:col>14</xdr:col>
                    <xdr:colOff>447675</xdr:colOff>
                    <xdr:row>5</xdr:row>
                    <xdr:rowOff>0</xdr:rowOff>
                  </to>
                </anchor>
              </controlPr>
            </control>
          </mc:Choice>
        </mc:AlternateContent>
        <mc:AlternateContent xmlns:mc="http://schemas.openxmlformats.org/markup-compatibility/2006">
          <mc:Choice Requires="x14">
            <control shapeId="9224" r:id="rId5" name="Button 8">
              <controlPr defaultSize="0" print="0" autoFill="0" autoPict="0" macro="[0]!PrintCowCalfPage">
                <anchor moveWithCells="1" sizeWithCells="1">
                  <from>
                    <xdr:col>11</xdr:col>
                    <xdr:colOff>9525</xdr:colOff>
                    <xdr:row>6</xdr:row>
                    <xdr:rowOff>19050</xdr:rowOff>
                  </from>
                  <to>
                    <xdr:col>14</xdr:col>
                    <xdr:colOff>438150</xdr:colOff>
                    <xdr:row>6</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T136"/>
  <sheetViews>
    <sheetView zoomScale="110" zoomScaleNormal="110" workbookViewId="0">
      <selection sqref="A1:B1"/>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7" width="4.28515625" customWidth="1"/>
    <col min="8" max="8" width="4" customWidth="1"/>
    <col min="9" max="9" width="7.42578125" customWidth="1"/>
    <col min="10" max="10" width="17.5703125" customWidth="1"/>
  </cols>
  <sheetData>
    <row r="1" spans="1:20" ht="20.25" customHeight="1" x14ac:dyDescent="0.25">
      <c r="A1" s="150" t="s">
        <v>121</v>
      </c>
      <c r="B1" s="151"/>
      <c r="C1" s="152" t="s">
        <v>29</v>
      </c>
      <c r="D1" s="152"/>
      <c r="E1" s="152"/>
      <c r="F1" s="152"/>
      <c r="G1" s="163" t="str">
        <f>IF(C1=Prices!B4,TEXT(Prices!B5,"MMM-YYYY"),IF(C1=Prices!D4,TEXT(Prices!D5,"MMM-YYYY"),TEXT(Prices!G5,"MMM-YYYY")))</f>
        <v>(as of December 1, 2015)</v>
      </c>
      <c r="H1" s="163"/>
      <c r="I1" s="163"/>
      <c r="J1" s="163"/>
      <c r="K1" s="76"/>
      <c r="L1" s="24"/>
      <c r="M1" s="24"/>
      <c r="N1" s="24"/>
    </row>
    <row r="2" spans="1:20" x14ac:dyDescent="0.25">
      <c r="A2" s="22"/>
      <c r="B2" s="23"/>
      <c r="C2" s="24"/>
      <c r="D2" s="25"/>
      <c r="E2" s="24"/>
      <c r="F2" s="24"/>
      <c r="G2" s="25"/>
      <c r="H2" s="24"/>
      <c r="I2" s="25"/>
      <c r="J2" s="24"/>
      <c r="K2" s="24"/>
      <c r="L2" s="77" t="s">
        <v>132</v>
      </c>
      <c r="M2" s="78"/>
      <c r="N2" s="78"/>
      <c r="O2" s="78"/>
      <c r="P2" s="78"/>
      <c r="Q2" s="78"/>
      <c r="R2" s="78"/>
      <c r="S2" s="78"/>
      <c r="T2" s="78"/>
    </row>
    <row r="3" spans="1:20" x14ac:dyDescent="0.25">
      <c r="A3" s="12" t="s">
        <v>6</v>
      </c>
      <c r="D3" s="45"/>
      <c r="G3" s="45"/>
      <c r="I3" s="45"/>
      <c r="K3" s="24"/>
      <c r="L3" s="24"/>
      <c r="M3" s="24"/>
      <c r="N3" s="24"/>
    </row>
    <row r="4" spans="1:20" x14ac:dyDescent="0.25">
      <c r="A4" t="s">
        <v>66</v>
      </c>
      <c r="B4" s="128">
        <v>0.02</v>
      </c>
      <c r="D4" s="45"/>
      <c r="F4" s="47"/>
      <c r="G4" s="45"/>
      <c r="I4" s="48"/>
      <c r="J4" s="48" t="s">
        <v>133</v>
      </c>
      <c r="K4" s="24"/>
      <c r="L4" s="24"/>
      <c r="M4" s="24"/>
      <c r="N4" s="24"/>
    </row>
    <row r="5" spans="1:20" x14ac:dyDescent="0.25">
      <c r="A5" t="s">
        <v>71</v>
      </c>
      <c r="B5" s="131">
        <v>120</v>
      </c>
      <c r="C5" s="162" t="s">
        <v>68</v>
      </c>
      <c r="D5" s="162"/>
      <c r="E5" s="162"/>
      <c r="F5" s="134">
        <v>2.25</v>
      </c>
      <c r="G5" s="45"/>
      <c r="I5" s="45"/>
      <c r="J5" s="80">
        <f>(E9-E10)/100</f>
        <v>2.7</v>
      </c>
      <c r="K5" s="24"/>
      <c r="L5" s="24"/>
      <c r="M5" s="24"/>
      <c r="N5" s="24"/>
    </row>
    <row r="6" spans="1:20" x14ac:dyDescent="0.25">
      <c r="B6" s="4"/>
      <c r="C6" s="162"/>
      <c r="D6" s="162"/>
      <c r="E6" s="162"/>
      <c r="F6" s="53"/>
      <c r="G6" s="61"/>
      <c r="I6" s="61"/>
      <c r="K6" s="24"/>
      <c r="L6" s="24"/>
      <c r="M6" s="24"/>
      <c r="N6" s="24"/>
    </row>
    <row r="7" spans="1:20" x14ac:dyDescent="0.25">
      <c r="D7" s="45"/>
      <c r="G7" s="45"/>
      <c r="I7" s="45"/>
      <c r="K7" s="24"/>
      <c r="L7" s="24"/>
      <c r="M7" s="24"/>
      <c r="N7" s="24"/>
    </row>
    <row r="8" spans="1:20" x14ac:dyDescent="0.25">
      <c r="A8" s="17" t="s">
        <v>86</v>
      </c>
      <c r="B8" s="17" t="s">
        <v>7</v>
      </c>
      <c r="C8" s="17" t="s">
        <v>8</v>
      </c>
      <c r="D8" s="17"/>
      <c r="E8" s="17" t="s">
        <v>27</v>
      </c>
      <c r="F8" s="17" t="s">
        <v>8</v>
      </c>
      <c r="G8" s="17"/>
      <c r="H8" s="17"/>
      <c r="I8" s="17"/>
      <c r="J8" s="17" t="s">
        <v>31</v>
      </c>
      <c r="K8" s="24"/>
      <c r="L8" s="24"/>
      <c r="M8" s="24"/>
      <c r="N8" s="24"/>
    </row>
    <row r="9" spans="1:20" x14ac:dyDescent="0.25">
      <c r="A9" t="s">
        <v>123</v>
      </c>
      <c r="B9" s="138">
        <f>(IF(C1=Prices!A1,Prices!B20,IF(C1=Prices!A2,Prices!D20,IF(C1=Prices!A3,Prices!G20,""))))</f>
        <v>180.75</v>
      </c>
      <c r="C9" s="7" t="s">
        <v>59</v>
      </c>
      <c r="D9" s="45" t="s">
        <v>64</v>
      </c>
      <c r="E9" s="140">
        <f>E10+(B5*F5)</f>
        <v>820</v>
      </c>
      <c r="F9" s="7" t="s">
        <v>9</v>
      </c>
      <c r="G9" s="45"/>
      <c r="H9" s="6"/>
      <c r="I9" s="14" t="s">
        <v>11</v>
      </c>
      <c r="J9" s="5">
        <f>B9*(E9/100)</f>
        <v>1482.1499999999999</v>
      </c>
      <c r="K9" s="24"/>
      <c r="L9" s="24"/>
      <c r="M9" s="24"/>
      <c r="N9" s="24"/>
      <c r="R9" s="54"/>
    </row>
    <row r="10" spans="1:20" x14ac:dyDescent="0.25">
      <c r="A10" t="s">
        <v>62</v>
      </c>
      <c r="B10" s="138">
        <f>(IF(C1=Prices!A1,Prices!B19,IF(C1=Prices!A2,Prices!D19,IF(C1=Prices!A3,Prices!G19,""))))</f>
        <v>206.45964910000001</v>
      </c>
      <c r="C10" s="7" t="s">
        <v>59</v>
      </c>
      <c r="D10" s="45" t="s">
        <v>64</v>
      </c>
      <c r="E10" s="130">
        <f>'Cow-Calf'!E8</f>
        <v>550</v>
      </c>
      <c r="F10" s="7" t="s">
        <v>9</v>
      </c>
      <c r="G10" s="45"/>
      <c r="H10" s="6"/>
      <c r="I10" s="14" t="s">
        <v>65</v>
      </c>
      <c r="J10" s="5">
        <f>-(B10*(E10/100))</f>
        <v>-1135.52807005</v>
      </c>
      <c r="K10" s="24"/>
      <c r="L10" s="24"/>
      <c r="M10" s="24"/>
      <c r="N10" s="24"/>
      <c r="R10" s="5"/>
      <c r="S10" s="5"/>
    </row>
    <row r="11" spans="1:20" x14ac:dyDescent="0.25">
      <c r="A11" t="s">
        <v>66</v>
      </c>
      <c r="B11" s="2"/>
      <c r="C11" s="7"/>
      <c r="D11" s="45"/>
      <c r="E11" s="35"/>
      <c r="F11" s="7"/>
      <c r="G11" s="45"/>
      <c r="H11" s="6"/>
      <c r="I11" s="14"/>
      <c r="J11" s="5">
        <f>(B4*J10)</f>
        <v>-22.710561401</v>
      </c>
      <c r="K11" s="24"/>
      <c r="L11" s="24"/>
      <c r="M11" s="24"/>
      <c r="N11" s="24"/>
    </row>
    <row r="12" spans="1:20" x14ac:dyDescent="0.25">
      <c r="A12" t="s">
        <v>34</v>
      </c>
      <c r="B12" s="2"/>
      <c r="C12" s="7"/>
      <c r="D12" s="45"/>
      <c r="E12" s="4"/>
      <c r="F12" s="7"/>
      <c r="G12" s="45"/>
      <c r="H12" s="6"/>
      <c r="I12" s="14"/>
      <c r="J12" s="2"/>
      <c r="K12" s="24"/>
      <c r="L12" s="24"/>
      <c r="M12" s="24"/>
      <c r="N12" s="24"/>
    </row>
    <row r="13" spans="1:20" x14ac:dyDescent="0.25">
      <c r="A13" s="20" t="s">
        <v>87</v>
      </c>
      <c r="B13" s="15"/>
      <c r="C13" s="15"/>
      <c r="D13" s="16"/>
      <c r="E13" s="15"/>
      <c r="F13" s="15"/>
      <c r="G13" s="16"/>
      <c r="H13" s="15"/>
      <c r="I13" s="16"/>
      <c r="J13" s="18">
        <f>SUM(J9:J12)</f>
        <v>323.91136854899986</v>
      </c>
      <c r="K13" s="24"/>
      <c r="L13" s="24"/>
      <c r="M13" s="24"/>
      <c r="N13" s="24"/>
    </row>
    <row r="14" spans="1:20" x14ac:dyDescent="0.25">
      <c r="A14" s="9"/>
      <c r="D14" s="45"/>
      <c r="G14" s="45"/>
      <c r="I14" s="45"/>
      <c r="K14" s="24"/>
      <c r="L14" s="24"/>
      <c r="M14" s="24"/>
      <c r="N14" s="24"/>
    </row>
    <row r="15" spans="1:20" x14ac:dyDescent="0.25">
      <c r="A15" s="17" t="s">
        <v>15</v>
      </c>
      <c r="B15" s="15"/>
      <c r="C15" s="15"/>
      <c r="D15" s="16"/>
      <c r="E15" s="15"/>
      <c r="F15" s="15"/>
      <c r="G15" s="16"/>
      <c r="H15" s="15"/>
      <c r="I15" s="16"/>
      <c r="J15" s="15"/>
      <c r="K15" s="24"/>
      <c r="L15" s="24"/>
      <c r="M15" s="24"/>
      <c r="N15" s="24"/>
    </row>
    <row r="16" spans="1:20" x14ac:dyDescent="0.25">
      <c r="A16" t="s">
        <v>35</v>
      </c>
      <c r="B16" s="138">
        <f>IF(C1=Prices!A1, Prices!B13, IF(C1=Prices!A2, Prices!D13, IF(C1=Prices!A3,Prices!G13, "")))</f>
        <v>18.059999999999999</v>
      </c>
      <c r="C16" s="7" t="s">
        <v>38</v>
      </c>
      <c r="D16" s="45" t="s">
        <v>64</v>
      </c>
      <c r="E16" s="50">
        <f>Feed!C20</f>
        <v>0</v>
      </c>
      <c r="F16" s="7" t="s">
        <v>89</v>
      </c>
      <c r="G16" s="45"/>
      <c r="H16" s="6"/>
      <c r="I16" s="14" t="s">
        <v>11</v>
      </c>
      <c r="J16" s="138">
        <f>B16*E16</f>
        <v>0</v>
      </c>
      <c r="K16" s="24"/>
      <c r="L16" s="24"/>
      <c r="M16" s="24"/>
      <c r="N16" s="24"/>
    </row>
    <row r="17" spans="1:16" x14ac:dyDescent="0.25">
      <c r="A17" t="s">
        <v>37</v>
      </c>
      <c r="B17" s="138">
        <f>IF(C1=Prices!A1, Prices!B14, IF(C1=Prices!A2, Prices!D14, IF(C1=Prices!A3,Prices!G14, "")))</f>
        <v>15</v>
      </c>
      <c r="C17" s="7" t="s">
        <v>38</v>
      </c>
      <c r="D17" s="45" t="s">
        <v>64</v>
      </c>
      <c r="E17" s="50">
        <f>Feed!C21</f>
        <v>0</v>
      </c>
      <c r="F17" s="7" t="s">
        <v>89</v>
      </c>
      <c r="G17" s="45"/>
      <c r="H17" s="6"/>
      <c r="I17" s="14" t="s">
        <v>11</v>
      </c>
      <c r="J17" s="138">
        <f t="shared" ref="J17" si="0">B17*E17</f>
        <v>0</v>
      </c>
      <c r="K17" s="24"/>
      <c r="L17" s="24"/>
      <c r="M17" s="24"/>
      <c r="N17" s="24"/>
      <c r="P17" s="5"/>
    </row>
    <row r="18" spans="1:16" x14ac:dyDescent="0.25">
      <c r="A18" t="s">
        <v>36</v>
      </c>
      <c r="B18" s="138">
        <f>IF(C1=Prices!A1,(((Feed!C22/Feed!C25)*Prices!B11)+((Feed!C23/Feed!C25)*Prices!B10)+((Feed!C24/Feed!C25)*Prices!B12)),IF(C1=Prices!A2,(((Feed!C22/Feed!C25)*Prices!D11)+((Feed!C23/Feed!C25)*Prices!D10)+((Feed!C24/Feed!C25)*Prices!D12)),IF(C1=Prices!A3,((Feed!C22/Feed!C25)*Prices!G11)+((Feed!C23/Feed!C25)*Prices!G10)+((Feed!C24/Feed!C25)*Prices!G12),"")))</f>
        <v>87.5</v>
      </c>
      <c r="C18" s="7" t="s">
        <v>39</v>
      </c>
      <c r="D18" s="45" t="s">
        <v>64</v>
      </c>
      <c r="E18" s="62">
        <f>(Feed!C25/2000)*B5</f>
        <v>0.42</v>
      </c>
      <c r="F18" s="7" t="s">
        <v>90</v>
      </c>
      <c r="G18" s="45"/>
      <c r="H18" s="6"/>
      <c r="I18" s="14" t="s">
        <v>11</v>
      </c>
      <c r="J18" s="138">
        <f>B18*E18</f>
        <v>36.75</v>
      </c>
      <c r="K18" s="24"/>
      <c r="L18" s="24"/>
      <c r="M18" s="24"/>
      <c r="N18" s="24"/>
    </row>
    <row r="19" spans="1:16" x14ac:dyDescent="0.25">
      <c r="A19" s="30" t="s">
        <v>41</v>
      </c>
      <c r="B19" s="138">
        <f>IF(C1=Prices!A1,(((Feed!C28/Feed!C29)*Prices!B7)+((Feed!C27/Feed!C29)*Prices!B8)+((Feed!C26/Feed!C29)*(Prices!B6*2000)/56)),IF(C1=Prices!A2,(((Feed!C28/Feed!C29)*Prices!D7)+((Feed!C27/Feed!C29)*Prices!D8)+((Feed!C26/Feed!C29)*(Prices!D6*2000)/56)),IF(C1=Prices!A3,(((Feed!C28/Feed!C29)*Prices!G7)+((Feed!C27/Feed!C29)*Prices!G8)+((Feed!C26/Feed!C29)*(Prices!G6*2000)/56)),"")))</f>
        <v>141.07142857142856</v>
      </c>
      <c r="C19" s="7" t="s">
        <v>39</v>
      </c>
      <c r="D19" s="45" t="s">
        <v>64</v>
      </c>
      <c r="E19" s="50">
        <f>Feed!C29*B5</f>
        <v>1680</v>
      </c>
      <c r="F19" s="7" t="s">
        <v>91</v>
      </c>
      <c r="G19" s="45"/>
      <c r="H19" s="6"/>
      <c r="I19" s="14" t="s">
        <v>11</v>
      </c>
      <c r="J19" s="138">
        <f>(B19/2000)*E19</f>
        <v>118.49999999999997</v>
      </c>
      <c r="K19" s="24"/>
      <c r="L19" s="24"/>
      <c r="M19" s="24"/>
      <c r="N19" s="24"/>
    </row>
    <row r="20" spans="1:16" x14ac:dyDescent="0.25">
      <c r="A20" t="s">
        <v>40</v>
      </c>
      <c r="B20" s="138">
        <f>IF(C1=Prices!A1,Prices!B16, IF(C1=Prices!A2,Prices!D16, IF(C1=Prices!A3,Prices!G16, "")))</f>
        <v>550</v>
      </c>
      <c r="C20" s="7" t="s">
        <v>39</v>
      </c>
      <c r="D20" s="45" t="s">
        <v>64</v>
      </c>
      <c r="E20" s="50">
        <f>Feed!C30*B5</f>
        <v>36</v>
      </c>
      <c r="F20" s="7" t="s">
        <v>91</v>
      </c>
      <c r="G20" s="45"/>
      <c r="H20" s="6"/>
      <c r="I20" s="14" t="s">
        <v>11</v>
      </c>
      <c r="J20" s="138">
        <f>(B20/2000)*E20</f>
        <v>9.9</v>
      </c>
      <c r="K20" s="94"/>
      <c r="L20" s="24"/>
      <c r="M20" s="24"/>
      <c r="N20" s="24"/>
    </row>
    <row r="21" spans="1:16" x14ac:dyDescent="0.25">
      <c r="A21" t="s">
        <v>151</v>
      </c>
      <c r="B21" s="129">
        <v>0</v>
      </c>
      <c r="C21" s="7" t="s">
        <v>152</v>
      </c>
      <c r="D21" s="137" t="s">
        <v>64</v>
      </c>
      <c r="E21" s="131">
        <v>0</v>
      </c>
      <c r="F21" s="7" t="s">
        <v>153</v>
      </c>
      <c r="G21" s="137"/>
      <c r="H21" s="6"/>
      <c r="I21" s="14" t="s">
        <v>65</v>
      </c>
      <c r="J21" s="129">
        <f>B21*E21</f>
        <v>0</v>
      </c>
      <c r="K21" s="94"/>
      <c r="L21" s="24"/>
      <c r="M21" s="24"/>
      <c r="N21" s="24"/>
    </row>
    <row r="22" spans="1:16" x14ac:dyDescent="0.25">
      <c r="A22" t="s">
        <v>42</v>
      </c>
      <c r="B22" s="129">
        <v>20</v>
      </c>
      <c r="C22" s="7" t="s">
        <v>79</v>
      </c>
      <c r="D22" s="45" t="s">
        <v>64</v>
      </c>
      <c r="E22" s="131">
        <f>(B5/30)*0.3</f>
        <v>1.2</v>
      </c>
      <c r="F22" s="7" t="s">
        <v>80</v>
      </c>
      <c r="G22" s="45"/>
      <c r="H22" s="6"/>
      <c r="I22" s="14" t="s">
        <v>11</v>
      </c>
      <c r="J22" s="129">
        <f>B22*E22</f>
        <v>24</v>
      </c>
      <c r="K22" s="24"/>
      <c r="L22" s="24"/>
      <c r="M22" s="24"/>
      <c r="N22" s="24"/>
    </row>
    <row r="23" spans="1:16" x14ac:dyDescent="0.25">
      <c r="A23" t="s">
        <v>43</v>
      </c>
      <c r="B23" s="2"/>
      <c r="C23" s="7"/>
      <c r="D23" s="45"/>
      <c r="E23" s="4"/>
      <c r="F23" s="7"/>
      <c r="G23" s="45"/>
      <c r="H23" s="6"/>
      <c r="I23" s="14"/>
      <c r="J23" s="141">
        <f>ROUND(9.29*J5,0)</f>
        <v>25</v>
      </c>
      <c r="K23" s="24"/>
      <c r="M23" s="24"/>
      <c r="N23" s="24"/>
    </row>
    <row r="24" spans="1:16" x14ac:dyDescent="0.25">
      <c r="A24" t="s">
        <v>67</v>
      </c>
      <c r="B24" s="2"/>
      <c r="C24" s="7"/>
      <c r="D24" s="45"/>
      <c r="E24" s="4"/>
      <c r="F24" s="7"/>
      <c r="G24" s="45"/>
      <c r="H24" s="6"/>
      <c r="I24" s="14"/>
      <c r="J24" s="141">
        <f>ROUND(5.21*J5,0)</f>
        <v>14</v>
      </c>
      <c r="K24" s="24"/>
      <c r="M24" s="24"/>
      <c r="N24" s="24"/>
    </row>
    <row r="25" spans="1:16" x14ac:dyDescent="0.25">
      <c r="A25" t="s">
        <v>44</v>
      </c>
      <c r="B25" s="2"/>
      <c r="C25" s="7"/>
      <c r="D25" s="45"/>
      <c r="E25" s="4"/>
      <c r="F25" s="7"/>
      <c r="G25" s="45"/>
      <c r="H25" s="6"/>
      <c r="I25" s="14"/>
      <c r="J25" s="141">
        <f>ROUND(3.43*J5,0)</f>
        <v>9</v>
      </c>
      <c r="K25" s="24"/>
      <c r="M25" s="24"/>
      <c r="N25" s="24"/>
    </row>
    <row r="26" spans="1:16" x14ac:dyDescent="0.25">
      <c r="A26" t="s">
        <v>81</v>
      </c>
      <c r="B26" s="2"/>
      <c r="C26" s="7"/>
      <c r="D26" s="45"/>
      <c r="E26" s="4"/>
      <c r="F26" s="7"/>
      <c r="G26" s="45"/>
      <c r="H26" s="6"/>
      <c r="I26" s="14"/>
      <c r="J26" s="141">
        <f>ROUND(4.48*J5,0)</f>
        <v>12</v>
      </c>
      <c r="K26" s="24"/>
      <c r="M26" s="24"/>
      <c r="N26" s="24"/>
    </row>
    <row r="27" spans="1:16" x14ac:dyDescent="0.25">
      <c r="A27" t="s">
        <v>149</v>
      </c>
      <c r="B27" s="2"/>
      <c r="C27" s="7"/>
      <c r="D27" s="136"/>
      <c r="E27" s="4"/>
      <c r="F27" s="7"/>
      <c r="G27" s="136"/>
      <c r="H27" s="6"/>
      <c r="I27" s="14"/>
      <c r="J27" s="141">
        <f>ROUND(4.82*J5,0)</f>
        <v>13</v>
      </c>
      <c r="K27" s="24"/>
      <c r="M27" s="24"/>
      <c r="N27" s="24"/>
    </row>
    <row r="28" spans="1:16" x14ac:dyDescent="0.25">
      <c r="A28" s="15" t="s">
        <v>45</v>
      </c>
      <c r="B28" s="15"/>
      <c r="C28" s="41"/>
      <c r="D28" s="16"/>
      <c r="E28" s="42"/>
      <c r="F28" s="41"/>
      <c r="G28" s="16"/>
      <c r="H28" s="43"/>
      <c r="I28" s="44"/>
      <c r="J28" s="142">
        <f>ROUND(1.59*J5,0)</f>
        <v>4</v>
      </c>
      <c r="K28" s="24"/>
      <c r="M28" s="24"/>
      <c r="N28" s="24"/>
    </row>
    <row r="29" spans="1:16" x14ac:dyDescent="0.25">
      <c r="A29" s="9" t="s">
        <v>19</v>
      </c>
      <c r="D29" s="45"/>
      <c r="G29" s="45"/>
      <c r="I29" s="45"/>
      <c r="J29" s="10">
        <f>SUM(J16:J28)</f>
        <v>266.14999999999998</v>
      </c>
      <c r="K29" s="24"/>
      <c r="L29" s="24"/>
      <c r="M29" s="24"/>
      <c r="N29" s="24"/>
    </row>
    <row r="30" spans="1:16" x14ac:dyDescent="0.25">
      <c r="D30" s="45"/>
      <c r="G30" s="45"/>
      <c r="I30" s="45"/>
      <c r="K30" s="24"/>
      <c r="L30" s="24"/>
      <c r="M30" s="24"/>
      <c r="N30" s="24"/>
    </row>
    <row r="31" spans="1:16" x14ac:dyDescent="0.25">
      <c r="A31" s="17" t="s">
        <v>16</v>
      </c>
      <c r="B31" s="15"/>
      <c r="C31" s="15"/>
      <c r="D31" s="16"/>
      <c r="E31" s="15"/>
      <c r="F31" s="15"/>
      <c r="G31" s="16"/>
      <c r="H31" s="15"/>
      <c r="I31" s="16"/>
      <c r="J31" s="15"/>
      <c r="K31" s="24"/>
      <c r="L31" s="24"/>
      <c r="M31" s="24"/>
      <c r="N31" s="24"/>
    </row>
    <row r="32" spans="1:16" x14ac:dyDescent="0.25">
      <c r="A32" t="s">
        <v>46</v>
      </c>
      <c r="D32" s="45"/>
      <c r="G32" s="45"/>
      <c r="I32" s="45"/>
      <c r="J32" s="129">
        <v>9</v>
      </c>
      <c r="K32" s="24"/>
      <c r="L32" s="24"/>
      <c r="M32" s="24"/>
      <c r="N32" s="24"/>
    </row>
    <row r="33" spans="1:14" x14ac:dyDescent="0.25">
      <c r="A33" t="s">
        <v>85</v>
      </c>
      <c r="D33" s="45"/>
      <c r="G33" s="45"/>
      <c r="I33" s="45"/>
      <c r="J33" s="129">
        <v>2</v>
      </c>
      <c r="K33" s="24"/>
      <c r="L33" s="24"/>
      <c r="M33" s="24"/>
      <c r="N33" s="24"/>
    </row>
    <row r="34" spans="1:14" x14ac:dyDescent="0.25">
      <c r="A34" t="s">
        <v>83</v>
      </c>
      <c r="D34" s="45"/>
      <c r="G34" s="45"/>
      <c r="I34" s="45"/>
      <c r="J34" s="129">
        <v>2</v>
      </c>
      <c r="K34" s="24"/>
      <c r="L34" s="24"/>
      <c r="M34" s="24"/>
      <c r="N34" s="24"/>
    </row>
    <row r="35" spans="1:14" x14ac:dyDescent="0.25">
      <c r="A35" s="33" t="s">
        <v>82</v>
      </c>
      <c r="B35" s="33"/>
      <c r="C35" s="33"/>
      <c r="D35" s="34"/>
      <c r="E35" s="33"/>
      <c r="F35" s="33"/>
      <c r="G35" s="34"/>
      <c r="H35" s="33"/>
      <c r="I35" s="34"/>
      <c r="J35" s="133">
        <v>38</v>
      </c>
      <c r="K35" s="24"/>
      <c r="L35" s="24"/>
      <c r="M35" s="24"/>
      <c r="N35" s="24"/>
    </row>
    <row r="36" spans="1:14" x14ac:dyDescent="0.25">
      <c r="A36" s="55" t="s">
        <v>97</v>
      </c>
      <c r="B36" s="33"/>
      <c r="C36" s="33"/>
      <c r="D36" s="34"/>
      <c r="E36" s="33"/>
      <c r="F36" s="33"/>
      <c r="G36" s="34"/>
      <c r="H36" s="33"/>
      <c r="I36" s="34"/>
      <c r="J36" s="133">
        <v>0</v>
      </c>
      <c r="K36" s="24"/>
      <c r="L36" s="24"/>
      <c r="M36" s="24"/>
      <c r="N36" s="24"/>
    </row>
    <row r="37" spans="1:14" x14ac:dyDescent="0.25">
      <c r="A37" s="58" t="s">
        <v>17</v>
      </c>
      <c r="B37" s="59"/>
      <c r="C37" s="59"/>
      <c r="D37" s="57"/>
      <c r="E37" s="59"/>
      <c r="F37" s="59"/>
      <c r="G37" s="57"/>
      <c r="H37" s="59"/>
      <c r="I37" s="57"/>
      <c r="J37" s="60">
        <f>SUM(J32:J36)</f>
        <v>51</v>
      </c>
      <c r="K37" s="24"/>
      <c r="L37" s="24"/>
      <c r="M37" s="24"/>
      <c r="N37" s="24"/>
    </row>
    <row r="38" spans="1:14" x14ac:dyDescent="0.25">
      <c r="D38" s="45"/>
      <c r="G38" s="45"/>
      <c r="I38" s="45"/>
      <c r="K38" s="24"/>
      <c r="L38" s="24"/>
      <c r="M38" s="24"/>
      <c r="N38" s="24"/>
    </row>
    <row r="39" spans="1:14" ht="15" customHeight="1" x14ac:dyDescent="0.25">
      <c r="A39" s="17" t="s">
        <v>18</v>
      </c>
      <c r="B39" s="15"/>
      <c r="C39" s="15"/>
      <c r="D39" s="16"/>
      <c r="E39" s="15"/>
      <c r="F39" s="15"/>
      <c r="G39" s="16"/>
      <c r="H39" s="15"/>
      <c r="I39" s="16"/>
      <c r="J39" s="18">
        <f>J29+J37</f>
        <v>317.14999999999998</v>
      </c>
      <c r="K39" s="94"/>
      <c r="L39" s="24"/>
      <c r="M39" s="24"/>
      <c r="N39" s="24"/>
    </row>
    <row r="40" spans="1:14" x14ac:dyDescent="0.25">
      <c r="A40" s="32"/>
      <c r="B40" s="33"/>
      <c r="C40" s="33"/>
      <c r="D40" s="34"/>
      <c r="E40" s="33"/>
      <c r="F40" s="33"/>
      <c r="G40" s="34"/>
      <c r="H40" s="33"/>
      <c r="I40" s="34"/>
      <c r="J40" s="19"/>
      <c r="K40" s="24"/>
      <c r="L40" s="24"/>
      <c r="M40" s="24"/>
      <c r="N40" s="24"/>
    </row>
    <row r="41" spans="1:14" x14ac:dyDescent="0.25">
      <c r="A41" t="s">
        <v>47</v>
      </c>
      <c r="D41" s="45"/>
      <c r="G41" s="45"/>
      <c r="I41" s="45"/>
      <c r="J41" s="5">
        <f>J13-J29</f>
        <v>57.761368548999883</v>
      </c>
    </row>
    <row r="42" spans="1:14" ht="15.75" thickBot="1" x14ac:dyDescent="0.3">
      <c r="A42" s="3" t="s">
        <v>20</v>
      </c>
      <c r="D42" s="45"/>
      <c r="G42" s="45"/>
      <c r="I42" s="45"/>
      <c r="J42" s="26">
        <f>J13-J39</f>
        <v>6.7613685489998829</v>
      </c>
    </row>
    <row r="43" spans="1:14" ht="105" customHeight="1" thickTop="1" x14ac:dyDescent="0.25">
      <c r="A43" s="32"/>
      <c r="B43" s="33"/>
      <c r="C43" s="33"/>
      <c r="D43" s="63"/>
      <c r="E43" s="33"/>
      <c r="F43" s="33"/>
      <c r="G43" s="63"/>
      <c r="H43" s="33"/>
      <c r="I43" s="63"/>
      <c r="J43" s="19"/>
    </row>
    <row r="44" spans="1:14" ht="15" customHeight="1" x14ac:dyDescent="0.25">
      <c r="A44" s="148" t="s">
        <v>60</v>
      </c>
      <c r="B44" s="149"/>
      <c r="C44" s="149"/>
      <c r="D44" s="149"/>
      <c r="E44" s="149"/>
      <c r="F44" s="149"/>
      <c r="G44" s="149"/>
      <c r="H44" s="149"/>
      <c r="I44" s="149"/>
      <c r="J44" s="149"/>
    </row>
    <row r="45" spans="1:14" ht="15.75" x14ac:dyDescent="0.25">
      <c r="A45" s="36" t="s">
        <v>122</v>
      </c>
      <c r="B45" s="36"/>
      <c r="C45" s="36"/>
      <c r="D45" s="36"/>
      <c r="E45" s="36"/>
      <c r="F45" s="36"/>
      <c r="G45" s="36"/>
      <c r="H45" s="36"/>
      <c r="I45" s="36"/>
      <c r="J45" s="36" t="str">
        <f>TEXT(Notes!D2,"MMM. DD, YYYY")</f>
        <v>Dec. 01, 2015</v>
      </c>
    </row>
    <row r="46" spans="1:14" x14ac:dyDescent="0.25">
      <c r="B46" s="40"/>
    </row>
    <row r="47" spans="1:14" ht="19.5" thickBot="1" x14ac:dyDescent="0.35">
      <c r="A47" s="154" t="s">
        <v>121</v>
      </c>
      <c r="B47" s="155"/>
      <c r="C47" s="156"/>
      <c r="D47" s="156"/>
      <c r="E47" s="156"/>
      <c r="F47" s="156"/>
      <c r="G47" s="157"/>
      <c r="H47" s="157"/>
      <c r="I47" s="157"/>
      <c r="J47" s="157"/>
    </row>
    <row r="90" spans="1:10" ht="93" customHeight="1" x14ac:dyDescent="0.25"/>
    <row r="91" spans="1:10" x14ac:dyDescent="0.25">
      <c r="A91" s="148" t="s">
        <v>60</v>
      </c>
      <c r="B91" s="149"/>
      <c r="C91" s="149"/>
      <c r="D91" s="149"/>
      <c r="E91" s="149"/>
      <c r="F91" s="149"/>
      <c r="G91" s="149"/>
      <c r="H91" s="149"/>
      <c r="I91" s="149"/>
      <c r="J91" s="149"/>
    </row>
    <row r="92" spans="1:10" ht="15.75" x14ac:dyDescent="0.25">
      <c r="A92" s="36" t="s">
        <v>122</v>
      </c>
      <c r="B92" s="36"/>
      <c r="C92" s="36"/>
      <c r="D92" s="36"/>
      <c r="E92" s="36"/>
      <c r="F92" s="36"/>
      <c r="G92" s="36"/>
      <c r="H92" s="36"/>
      <c r="I92" s="36"/>
      <c r="J92" s="36" t="str">
        <f>J45</f>
        <v>Dec. 01, 2015</v>
      </c>
    </row>
    <row r="93" spans="1:10" ht="15.75" x14ac:dyDescent="0.25">
      <c r="A93" s="68"/>
      <c r="B93" s="68"/>
      <c r="C93" s="68"/>
      <c r="D93" s="68"/>
      <c r="E93" s="68"/>
      <c r="F93" s="68"/>
      <c r="G93" s="68"/>
      <c r="H93" s="68"/>
      <c r="I93" s="68"/>
      <c r="J93" s="68"/>
    </row>
    <row r="94" spans="1:10" ht="19.5" thickBot="1" x14ac:dyDescent="0.35">
      <c r="A94" s="154" t="s">
        <v>121</v>
      </c>
      <c r="B94" s="155"/>
      <c r="C94" s="156"/>
      <c r="D94" s="156"/>
      <c r="E94" s="156"/>
      <c r="F94" s="156"/>
      <c r="G94" s="157"/>
      <c r="H94" s="157"/>
      <c r="I94" s="157"/>
      <c r="J94" s="157"/>
    </row>
    <row r="95" spans="1:10" ht="15.75" x14ac:dyDescent="0.25">
      <c r="A95" s="69" t="s">
        <v>112</v>
      </c>
    </row>
    <row r="97" spans="1:5" ht="15.75" thickBot="1" x14ac:dyDescent="0.3">
      <c r="A97" s="52" t="s">
        <v>124</v>
      </c>
      <c r="B97" s="51" t="s">
        <v>88</v>
      </c>
      <c r="C97" s="51"/>
      <c r="D97" s="51"/>
      <c r="E97" s="51"/>
    </row>
    <row r="98" spans="1:5" x14ac:dyDescent="0.25">
      <c r="A98" s="32"/>
      <c r="B98" s="17" t="s">
        <v>27</v>
      </c>
      <c r="C98" s="17" t="s">
        <v>8</v>
      </c>
    </row>
    <row r="99" spans="1:5" x14ac:dyDescent="0.25">
      <c r="A99" t="s">
        <v>35</v>
      </c>
      <c r="B99" s="50">
        <f>Feed!C20</f>
        <v>0</v>
      </c>
      <c r="C99" s="7" t="s">
        <v>104</v>
      </c>
      <c r="D99" s="7"/>
    </row>
    <row r="100" spans="1:5" x14ac:dyDescent="0.25">
      <c r="A100" t="s">
        <v>37</v>
      </c>
      <c r="B100" s="50">
        <f>Feed!C21</f>
        <v>0</v>
      </c>
      <c r="C100" s="7" t="s">
        <v>104</v>
      </c>
      <c r="D100" s="7"/>
    </row>
    <row r="101" spans="1:5" x14ac:dyDescent="0.25">
      <c r="A101" s="48" t="s">
        <v>140</v>
      </c>
      <c r="B101" s="62">
        <f>Feed!C22</f>
        <v>3.5</v>
      </c>
      <c r="C101" s="7" t="s">
        <v>72</v>
      </c>
      <c r="D101" s="7"/>
    </row>
    <row r="102" spans="1:5" x14ac:dyDescent="0.25">
      <c r="A102" s="48" t="s">
        <v>102</v>
      </c>
      <c r="B102" s="62">
        <f>Feed!C23</f>
        <v>0</v>
      </c>
      <c r="C102" s="7" t="s">
        <v>72</v>
      </c>
      <c r="D102" s="7"/>
    </row>
    <row r="103" spans="1:5" x14ac:dyDescent="0.25">
      <c r="A103" s="48" t="s">
        <v>70</v>
      </c>
      <c r="B103" s="62">
        <f>Feed!C24</f>
        <v>3.5</v>
      </c>
      <c r="C103" s="7" t="s">
        <v>72</v>
      </c>
      <c r="D103" s="7"/>
    </row>
    <row r="104" spans="1:5" x14ac:dyDescent="0.25">
      <c r="A104" t="s">
        <v>101</v>
      </c>
      <c r="B104" s="62">
        <f>Feed!C25</f>
        <v>7</v>
      </c>
      <c r="C104" s="7" t="s">
        <v>72</v>
      </c>
      <c r="D104" s="7"/>
    </row>
    <row r="105" spans="1:5" x14ac:dyDescent="0.25">
      <c r="A105" s="48" t="s">
        <v>73</v>
      </c>
      <c r="B105" s="62">
        <f>Feed!C26</f>
        <v>7</v>
      </c>
      <c r="C105" s="7" t="s">
        <v>72</v>
      </c>
      <c r="D105" s="7"/>
    </row>
    <row r="106" spans="1:5" x14ac:dyDescent="0.25">
      <c r="A106" s="48" t="s">
        <v>74</v>
      </c>
      <c r="B106" s="62">
        <f>Feed!C27</f>
        <v>7</v>
      </c>
      <c r="C106" s="7" t="s">
        <v>72</v>
      </c>
      <c r="D106" s="7"/>
    </row>
    <row r="107" spans="1:5" x14ac:dyDescent="0.25">
      <c r="A107" s="48" t="s">
        <v>75</v>
      </c>
      <c r="B107" s="62">
        <f>Feed!C28</f>
        <v>0</v>
      </c>
      <c r="C107" s="7" t="s">
        <v>72</v>
      </c>
      <c r="D107" s="7"/>
    </row>
    <row r="108" spans="1:5" x14ac:dyDescent="0.25">
      <c r="A108" t="s">
        <v>100</v>
      </c>
      <c r="B108" s="62">
        <f>Feed!C29</f>
        <v>14</v>
      </c>
      <c r="C108" s="7" t="s">
        <v>72</v>
      </c>
      <c r="D108" s="49"/>
    </row>
    <row r="109" spans="1:5" x14ac:dyDescent="0.25">
      <c r="A109" t="s">
        <v>58</v>
      </c>
      <c r="B109" s="74">
        <f>Feed!C30</f>
        <v>0.3</v>
      </c>
      <c r="C109" s="7" t="s">
        <v>72</v>
      </c>
    </row>
    <row r="114" spans="1:6" ht="15.75" thickBot="1" x14ac:dyDescent="0.3">
      <c r="A114" s="52" t="s">
        <v>146</v>
      </c>
      <c r="B114" s="51"/>
      <c r="C114" s="51"/>
      <c r="D114" s="51"/>
      <c r="E114" s="51"/>
      <c r="F114" s="51"/>
    </row>
    <row r="115" spans="1:6" x14ac:dyDescent="0.25">
      <c r="A115" s="64"/>
      <c r="B115" s="66" t="s">
        <v>113</v>
      </c>
      <c r="C115" s="160" t="s">
        <v>114</v>
      </c>
      <c r="D115" s="160"/>
      <c r="E115" s="161" t="s">
        <v>115</v>
      </c>
      <c r="F115" s="161"/>
    </row>
    <row r="116" spans="1:6" x14ac:dyDescent="0.25">
      <c r="A116" t="s">
        <v>117</v>
      </c>
      <c r="B116" s="65">
        <f>Prices!B18</f>
        <v>189.01480000000001</v>
      </c>
      <c r="C116" s="158">
        <f>Prices!D18</f>
        <v>183.53980000000001</v>
      </c>
      <c r="D116" s="159"/>
      <c r="E116" s="158">
        <f>Prices!G18</f>
        <v>217.07534340665507</v>
      </c>
      <c r="F116" s="159"/>
    </row>
    <row r="117" spans="1:6" x14ac:dyDescent="0.25">
      <c r="A117" t="s">
        <v>120</v>
      </c>
      <c r="B117" s="65">
        <f>Prices!B19</f>
        <v>206.45964910000001</v>
      </c>
      <c r="C117" s="158">
        <f>Prices!D19</f>
        <v>200.98464910000001</v>
      </c>
      <c r="D117" s="159"/>
      <c r="E117" s="158">
        <f>Prices!G19</f>
        <v>237.11</v>
      </c>
      <c r="F117" s="159"/>
    </row>
    <row r="118" spans="1:6" x14ac:dyDescent="0.25">
      <c r="A118" t="s">
        <v>118</v>
      </c>
      <c r="B118" s="65">
        <f>Prices!B20</f>
        <v>180.75</v>
      </c>
      <c r="C118" s="158">
        <f>Prices!D20</f>
        <v>175.27500000000001</v>
      </c>
      <c r="D118" s="159"/>
      <c r="E118" s="158">
        <f>Prices!G20</f>
        <v>193.23</v>
      </c>
      <c r="F118" s="159"/>
    </row>
    <row r="119" spans="1:6" x14ac:dyDescent="0.25">
      <c r="A119" t="s">
        <v>13</v>
      </c>
      <c r="B119" s="65">
        <f>Prices!B6</f>
        <v>3.77</v>
      </c>
      <c r="C119" s="158">
        <f>Prices!D6</f>
        <v>4.0660000000000007</v>
      </c>
      <c r="D119" s="159"/>
      <c r="E119" s="158">
        <f>Prices!G6</f>
        <v>3.55</v>
      </c>
      <c r="F119" s="159"/>
    </row>
    <row r="120" spans="1:6" x14ac:dyDescent="0.25">
      <c r="A120" t="s">
        <v>14</v>
      </c>
      <c r="B120" s="65">
        <f>Prices!B7</f>
        <v>281.60000000000002</v>
      </c>
      <c r="C120" s="158">
        <f>Prices!D7</f>
        <v>291.7</v>
      </c>
      <c r="D120" s="159"/>
      <c r="E120" s="158">
        <f>Prices!G7</f>
        <v>326</v>
      </c>
      <c r="F120" s="159"/>
    </row>
    <row r="121" spans="1:6" x14ac:dyDescent="0.25">
      <c r="A121" t="s">
        <v>116</v>
      </c>
      <c r="B121" s="65">
        <f>Prices!B8</f>
        <v>147.5</v>
      </c>
      <c r="C121" s="158">
        <f>Prices!D8</f>
        <v>159.08090185676394</v>
      </c>
      <c r="D121" s="159"/>
      <c r="E121" s="158">
        <f>Prices!G8</f>
        <v>138.89257294429709</v>
      </c>
      <c r="F121" s="159"/>
    </row>
    <row r="122" spans="1:6" x14ac:dyDescent="0.25">
      <c r="A122" t="s">
        <v>109</v>
      </c>
      <c r="B122" s="65">
        <f>Prices!B10</f>
        <v>30.16</v>
      </c>
      <c r="C122" s="158">
        <f>Prices!D10</f>
        <v>32.528000000000006</v>
      </c>
      <c r="D122" s="159"/>
      <c r="E122" s="158">
        <f>Prices!G10</f>
        <v>28.4</v>
      </c>
      <c r="F122" s="159"/>
    </row>
    <row r="123" spans="1:6" x14ac:dyDescent="0.25">
      <c r="A123" t="s">
        <v>92</v>
      </c>
      <c r="B123" s="65">
        <f>Prices!B11</f>
        <v>60</v>
      </c>
      <c r="C123" s="158">
        <f>Prices!D11</f>
        <v>64.710875331564992</v>
      </c>
      <c r="D123" s="159"/>
      <c r="E123" s="158">
        <f>Prices!G11</f>
        <v>56.49867374005305</v>
      </c>
      <c r="F123" s="159"/>
    </row>
    <row r="124" spans="1:6" x14ac:dyDescent="0.25">
      <c r="A124" t="s">
        <v>93</v>
      </c>
      <c r="B124" s="65">
        <f>Prices!B12</f>
        <v>115</v>
      </c>
      <c r="C124" s="158">
        <f>Prices!D12</f>
        <v>124.0291777188329</v>
      </c>
      <c r="D124" s="159"/>
      <c r="E124" s="158">
        <f>Prices!G12</f>
        <v>108.28912466843501</v>
      </c>
      <c r="F124" s="159"/>
    </row>
    <row r="125" spans="1:6" x14ac:dyDescent="0.25">
      <c r="A125" t="s">
        <v>94</v>
      </c>
      <c r="B125" s="65">
        <f>Prices!B13</f>
        <v>18.059999999999999</v>
      </c>
      <c r="C125" s="158">
        <f>Prices!D13</f>
        <v>18.421199999999999</v>
      </c>
      <c r="D125" s="159"/>
      <c r="E125" s="158">
        <f>Prices!G13</f>
        <v>19.866</v>
      </c>
      <c r="F125" s="159"/>
    </row>
    <row r="126" spans="1:6" x14ac:dyDescent="0.25">
      <c r="A126" t="s">
        <v>95</v>
      </c>
      <c r="B126" s="65">
        <f>Prices!B14</f>
        <v>15</v>
      </c>
      <c r="C126" s="158">
        <f>Prices!D14</f>
        <v>15.3</v>
      </c>
      <c r="D126" s="159"/>
      <c r="E126" s="158">
        <f>Prices!G14</f>
        <v>16.5</v>
      </c>
      <c r="F126" s="159"/>
    </row>
    <row r="127" spans="1:6" x14ac:dyDescent="0.25">
      <c r="A127" t="s">
        <v>96</v>
      </c>
      <c r="B127" s="65">
        <f>Prices!B16</f>
        <v>550</v>
      </c>
      <c r="C127" s="158">
        <f>Prices!D16</f>
        <v>561</v>
      </c>
      <c r="D127" s="159"/>
      <c r="E127" s="158">
        <f>Prices!G16</f>
        <v>605</v>
      </c>
      <c r="F127" s="159"/>
    </row>
    <row r="128" spans="1:6" x14ac:dyDescent="0.25">
      <c r="B128" s="65"/>
      <c r="C128" s="67"/>
      <c r="D128" s="63"/>
      <c r="E128" s="67"/>
      <c r="F128" s="63"/>
    </row>
    <row r="129" spans="1:10" ht="138.75" customHeight="1" x14ac:dyDescent="0.25">
      <c r="B129" s="65"/>
      <c r="C129" s="67"/>
      <c r="D129" s="63"/>
      <c r="E129" s="67"/>
      <c r="F129" s="63"/>
    </row>
    <row r="130" spans="1:10" x14ac:dyDescent="0.25">
      <c r="B130" s="65"/>
      <c r="C130" s="67"/>
      <c r="D130" s="63"/>
      <c r="E130" s="67"/>
      <c r="F130" s="63"/>
    </row>
    <row r="131" spans="1:10" x14ac:dyDescent="0.25">
      <c r="B131" s="65"/>
      <c r="C131" s="67"/>
      <c r="D131" s="63"/>
      <c r="E131" s="67"/>
      <c r="F131" s="63"/>
    </row>
    <row r="132" spans="1:10" x14ac:dyDescent="0.25">
      <c r="B132" s="65"/>
      <c r="C132" s="67"/>
      <c r="D132" s="63"/>
      <c r="E132" s="67"/>
      <c r="F132" s="63"/>
    </row>
    <row r="133" spans="1:10" x14ac:dyDescent="0.25">
      <c r="B133" s="65"/>
      <c r="C133" s="67"/>
      <c r="D133" s="63"/>
      <c r="E133" s="67"/>
      <c r="F133" s="63"/>
    </row>
    <row r="134" spans="1:10" x14ac:dyDescent="0.25">
      <c r="B134" s="65"/>
      <c r="C134" s="67"/>
      <c r="D134" s="63"/>
      <c r="E134" s="67"/>
      <c r="F134" s="63"/>
    </row>
    <row r="135" spans="1:10" x14ac:dyDescent="0.25">
      <c r="A135" s="148" t="s">
        <v>60</v>
      </c>
      <c r="B135" s="149"/>
      <c r="C135" s="149"/>
      <c r="D135" s="149"/>
      <c r="E135" s="149"/>
      <c r="F135" s="149"/>
      <c r="G135" s="149"/>
      <c r="H135" s="149"/>
      <c r="I135" s="149"/>
      <c r="J135" s="149"/>
    </row>
    <row r="136" spans="1:10" ht="15.75" x14ac:dyDescent="0.25">
      <c r="A136" s="36" t="s">
        <v>122</v>
      </c>
      <c r="B136" s="36"/>
      <c r="C136" s="36"/>
      <c r="D136" s="36"/>
      <c r="E136" s="36"/>
      <c r="F136" s="36"/>
      <c r="G136" s="36"/>
      <c r="H136" s="36"/>
      <c r="I136" s="36"/>
      <c r="J136" s="36" t="str">
        <f>J92</f>
        <v>Dec. 01, 2015</v>
      </c>
    </row>
  </sheetData>
  <sheetProtection sheet="1" objects="1" scenarios="1"/>
  <mergeCells count="40">
    <mergeCell ref="A1:B1"/>
    <mergeCell ref="C1:F1"/>
    <mergeCell ref="G1:J1"/>
    <mergeCell ref="C5:E5"/>
    <mergeCell ref="A44:J44"/>
    <mergeCell ref="A47:B47"/>
    <mergeCell ref="C47:F47"/>
    <mergeCell ref="G47:J47"/>
    <mergeCell ref="A91:J91"/>
    <mergeCell ref="A94:B94"/>
    <mergeCell ref="C94:F94"/>
    <mergeCell ref="G94:J94"/>
    <mergeCell ref="C115:D115"/>
    <mergeCell ref="E115:F115"/>
    <mergeCell ref="C116:D116"/>
    <mergeCell ref="E116:F116"/>
    <mergeCell ref="C117:D117"/>
    <mergeCell ref="E117:F117"/>
    <mergeCell ref="C120:D120"/>
    <mergeCell ref="E120:F120"/>
    <mergeCell ref="C121:D121"/>
    <mergeCell ref="E121:F121"/>
    <mergeCell ref="C118:D118"/>
    <mergeCell ref="E118:F118"/>
    <mergeCell ref="A135:J135"/>
    <mergeCell ref="C6:E6"/>
    <mergeCell ref="C125:D125"/>
    <mergeCell ref="E125:F125"/>
    <mergeCell ref="C126:D126"/>
    <mergeCell ref="E126:F126"/>
    <mergeCell ref="C127:D127"/>
    <mergeCell ref="E127:F127"/>
    <mergeCell ref="C122:D122"/>
    <mergeCell ref="E122:F122"/>
    <mergeCell ref="C123:D123"/>
    <mergeCell ref="E123:F123"/>
    <mergeCell ref="C124:D124"/>
    <mergeCell ref="E124:F124"/>
    <mergeCell ref="C119:D119"/>
    <mergeCell ref="E119:F119"/>
  </mergeCells>
  <dataValidations count="1">
    <dataValidation type="list" showInputMessage="1" showErrorMessage="1" prompt="Select a price horizon to budget from" sqref="C1">
      <formula1>price_selections</formula1>
    </dataValidation>
  </dataValidations>
  <pageMargins left="0.5" right="0.5" top="0.75" bottom="0.5" header="0.3" footer="0"/>
  <pageSetup scale="90" orientation="portrait" horizontalDpi="4294967295" verticalDpi="4294967295" r:id="rId1"/>
  <headerFooter>
    <oddHeader>&amp;L&amp;"-,Bold"&amp;20FARM MANAGEMENT GUIDE</oddHeader>
  </headerFooter>
  <rowBreaks count="2" manualBreakCount="2">
    <brk id="46" max="9" man="1"/>
    <brk id="93"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PrintBackgroungingBudget">
                <anchor moveWithCells="1" sizeWithCells="1">
                  <from>
                    <xdr:col>11</xdr:col>
                    <xdr:colOff>9525</xdr:colOff>
                    <xdr:row>2</xdr:row>
                    <xdr:rowOff>180975</xdr:rowOff>
                  </from>
                  <to>
                    <xdr:col>14</xdr:col>
                    <xdr:colOff>581025</xdr:colOff>
                    <xdr:row>4</xdr:row>
                    <xdr:rowOff>133350</xdr:rowOff>
                  </to>
                </anchor>
              </controlPr>
            </control>
          </mc:Choice>
        </mc:AlternateContent>
        <mc:AlternateContent xmlns:mc="http://schemas.openxmlformats.org/markup-compatibility/2006">
          <mc:Choice Requires="x14">
            <control shapeId="12290" r:id="rId5" name="Button 2">
              <controlPr defaultSize="0" print="0" autoFill="0" autoPict="0" macro="[0]!PrintBackgroundingPage">
                <anchor moveWithCells="1" sizeWithCells="1">
                  <from>
                    <xdr:col>11</xdr:col>
                    <xdr:colOff>9525</xdr:colOff>
                    <xdr:row>5</xdr:row>
                    <xdr:rowOff>171450</xdr:rowOff>
                  </from>
                  <to>
                    <xdr:col>14</xdr:col>
                    <xdr:colOff>590550</xdr:colOff>
                    <xdr:row>7</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T136"/>
  <sheetViews>
    <sheetView zoomScale="110" zoomScaleNormal="110" workbookViewId="0">
      <selection activeCell="G2" sqref="G2"/>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8" width="4.42578125" customWidth="1"/>
    <col min="9" max="9" width="7.42578125" customWidth="1"/>
    <col min="10" max="10" width="14.7109375" customWidth="1"/>
  </cols>
  <sheetData>
    <row r="1" spans="1:20" ht="22.5" customHeight="1" x14ac:dyDescent="0.25">
      <c r="A1" s="150" t="s">
        <v>84</v>
      </c>
      <c r="B1" s="151"/>
      <c r="C1" s="152" t="s">
        <v>29</v>
      </c>
      <c r="D1" s="152"/>
      <c r="E1" s="152"/>
      <c r="F1" s="152"/>
      <c r="G1" s="163" t="str">
        <f>IF(C1=Prices!B4,TEXT(Prices!B5,"MMM-YYYY"),IF(C1=Prices!D4,TEXT(Prices!D5,"MMM-YYYY"),TEXT(Prices!G5,"MMM-YYYY")))</f>
        <v>(as of December 1, 2015)</v>
      </c>
      <c r="H1" s="163"/>
      <c r="I1" s="163"/>
      <c r="J1" s="163"/>
      <c r="K1" s="76"/>
      <c r="L1" s="24"/>
      <c r="M1" s="24"/>
      <c r="N1" s="24"/>
    </row>
    <row r="2" spans="1:20" x14ac:dyDescent="0.25">
      <c r="A2" s="22"/>
      <c r="B2" s="23"/>
      <c r="C2" s="24"/>
      <c r="D2" s="25"/>
      <c r="E2" s="24"/>
      <c r="F2" s="24"/>
      <c r="G2" s="25"/>
      <c r="H2" s="24"/>
      <c r="I2" s="25"/>
      <c r="J2" s="24"/>
      <c r="K2" s="24"/>
      <c r="L2" s="77" t="s">
        <v>132</v>
      </c>
      <c r="M2" s="78"/>
      <c r="N2" s="78"/>
      <c r="O2" s="78"/>
      <c r="P2" s="78"/>
      <c r="Q2" s="78"/>
      <c r="R2" s="78"/>
      <c r="S2" s="78"/>
      <c r="T2" s="78"/>
    </row>
    <row r="3" spans="1:20" x14ac:dyDescent="0.25">
      <c r="A3" s="12" t="s">
        <v>6</v>
      </c>
      <c r="D3" s="45"/>
      <c r="G3" s="45"/>
      <c r="I3" s="45"/>
      <c r="K3" s="24"/>
      <c r="L3" s="24"/>
      <c r="M3" s="24"/>
      <c r="N3" s="24"/>
    </row>
    <row r="4" spans="1:20" x14ac:dyDescent="0.25">
      <c r="A4" t="s">
        <v>66</v>
      </c>
      <c r="B4" s="128">
        <v>0.01</v>
      </c>
      <c r="D4" s="45"/>
      <c r="F4" s="47"/>
      <c r="G4" s="45"/>
      <c r="I4" s="164" t="s">
        <v>133</v>
      </c>
      <c r="J4" s="164"/>
      <c r="K4" s="24"/>
      <c r="L4" s="24"/>
      <c r="M4" s="24"/>
      <c r="N4" s="24"/>
    </row>
    <row r="5" spans="1:20" x14ac:dyDescent="0.25">
      <c r="A5" t="s">
        <v>138</v>
      </c>
      <c r="B5" s="131">
        <v>150</v>
      </c>
      <c r="C5" s="162" t="s">
        <v>68</v>
      </c>
      <c r="D5" s="162"/>
      <c r="E5" s="162"/>
      <c r="F5" s="134">
        <v>1.25</v>
      </c>
      <c r="G5" s="45"/>
      <c r="I5" s="45"/>
      <c r="J5" s="80">
        <f>(E9-E10)/100</f>
        <v>1.875</v>
      </c>
      <c r="K5" s="24"/>
      <c r="L5" s="24"/>
      <c r="M5" s="24"/>
      <c r="N5" s="24"/>
    </row>
    <row r="6" spans="1:20" x14ac:dyDescent="0.25">
      <c r="B6" s="4"/>
      <c r="C6" s="162"/>
      <c r="D6" s="162"/>
      <c r="E6" s="162"/>
      <c r="F6" s="53"/>
      <c r="G6" s="73"/>
      <c r="I6" s="73"/>
      <c r="K6" s="24"/>
      <c r="L6" s="24"/>
      <c r="M6" s="24"/>
      <c r="N6" s="24"/>
    </row>
    <row r="7" spans="1:20" x14ac:dyDescent="0.25">
      <c r="D7" s="45"/>
      <c r="G7" s="45"/>
      <c r="I7" s="45"/>
      <c r="K7" s="24"/>
      <c r="L7" s="24"/>
      <c r="M7" s="24"/>
      <c r="N7" s="24"/>
    </row>
    <row r="8" spans="1:20" ht="30" x14ac:dyDescent="0.25">
      <c r="A8" s="17" t="s">
        <v>86</v>
      </c>
      <c r="B8" s="17" t="s">
        <v>7</v>
      </c>
      <c r="C8" s="17" t="s">
        <v>8</v>
      </c>
      <c r="D8" s="17"/>
      <c r="E8" s="17" t="s">
        <v>27</v>
      </c>
      <c r="F8" s="17" t="s">
        <v>8</v>
      </c>
      <c r="G8" s="17"/>
      <c r="H8" s="17"/>
      <c r="I8" s="17"/>
      <c r="J8" s="17" t="s">
        <v>31</v>
      </c>
      <c r="K8" s="24"/>
      <c r="L8" s="24"/>
      <c r="M8" s="24"/>
      <c r="N8" s="24"/>
    </row>
    <row r="9" spans="1:20" x14ac:dyDescent="0.25">
      <c r="A9" t="s">
        <v>63</v>
      </c>
      <c r="B9" s="138">
        <f>(IF(C1=Prices!A1,Prices!B20,IF(C1=Prices!A2,Prices!D20,IF(C1=Prices!A3,Prices!G20,""))))</f>
        <v>180.75</v>
      </c>
      <c r="C9" s="7" t="s">
        <v>59</v>
      </c>
      <c r="D9" s="45" t="s">
        <v>64</v>
      </c>
      <c r="E9" s="140">
        <f>E10+(B5*F5)</f>
        <v>737.5</v>
      </c>
      <c r="F9" s="7" t="s">
        <v>9</v>
      </c>
      <c r="G9" s="45"/>
      <c r="H9" s="6"/>
      <c r="I9" s="14" t="s">
        <v>11</v>
      </c>
      <c r="J9" s="5">
        <f>B9*(E9/100)</f>
        <v>1333.03125</v>
      </c>
      <c r="K9" s="24"/>
      <c r="L9" s="24"/>
      <c r="M9" s="24"/>
      <c r="N9" s="24"/>
      <c r="R9" s="54"/>
    </row>
    <row r="10" spans="1:20" x14ac:dyDescent="0.25">
      <c r="A10" t="s">
        <v>62</v>
      </c>
      <c r="B10" s="138">
        <f>(IF(C1=Prices!A1,Prices!B19,IF(C1=Prices!A2,Prices!D19,IF(C1=Prices!A3,Prices!G19,""))))</f>
        <v>206.45964910000001</v>
      </c>
      <c r="C10" s="7" t="s">
        <v>59</v>
      </c>
      <c r="D10" s="45" t="s">
        <v>64</v>
      </c>
      <c r="E10" s="130">
        <f>'Cow-Calf'!E8</f>
        <v>550</v>
      </c>
      <c r="F10" s="7" t="s">
        <v>9</v>
      </c>
      <c r="G10" s="45"/>
      <c r="H10" s="6"/>
      <c r="I10" s="14" t="s">
        <v>65</v>
      </c>
      <c r="J10" s="5">
        <f>-(B10*(E10/100))</f>
        <v>-1135.52807005</v>
      </c>
      <c r="K10" s="24"/>
      <c r="L10" s="24"/>
      <c r="M10" s="24"/>
      <c r="N10" s="24"/>
      <c r="R10" s="5"/>
      <c r="S10" s="5"/>
    </row>
    <row r="11" spans="1:20" x14ac:dyDescent="0.25">
      <c r="A11" t="s">
        <v>66</v>
      </c>
      <c r="B11" s="2"/>
      <c r="C11" s="7"/>
      <c r="D11" s="45"/>
      <c r="E11" s="35"/>
      <c r="F11" s="7"/>
      <c r="G11" s="45"/>
      <c r="H11" s="6"/>
      <c r="I11" s="14"/>
      <c r="J11" s="5">
        <f>(B4*J10)</f>
        <v>-11.3552807005</v>
      </c>
      <c r="K11" s="24"/>
      <c r="L11" s="24"/>
      <c r="M11" s="24"/>
      <c r="N11" s="24"/>
    </row>
    <row r="12" spans="1:20" x14ac:dyDescent="0.25">
      <c r="A12" t="s">
        <v>34</v>
      </c>
      <c r="B12" s="2"/>
      <c r="C12" s="7"/>
      <c r="D12" s="45"/>
      <c r="E12" s="4"/>
      <c r="F12" s="7"/>
      <c r="G12" s="45"/>
      <c r="H12" s="6"/>
      <c r="I12" s="14"/>
      <c r="J12" s="2"/>
      <c r="K12" s="24"/>
      <c r="L12" s="24"/>
      <c r="M12" s="24"/>
      <c r="N12" s="24"/>
    </row>
    <row r="13" spans="1:20" x14ac:dyDescent="0.25">
      <c r="A13" s="20" t="s">
        <v>87</v>
      </c>
      <c r="B13" s="15"/>
      <c r="C13" s="15"/>
      <c r="D13" s="16"/>
      <c r="E13" s="15"/>
      <c r="F13" s="15"/>
      <c r="G13" s="16"/>
      <c r="H13" s="15"/>
      <c r="I13" s="16"/>
      <c r="J13" s="18">
        <f>SUM(J9:J12)</f>
        <v>186.1478992495</v>
      </c>
      <c r="K13" s="24"/>
      <c r="L13" s="24"/>
      <c r="M13" s="24"/>
      <c r="N13" s="24"/>
    </row>
    <row r="14" spans="1:20" x14ac:dyDescent="0.25">
      <c r="A14" s="9"/>
      <c r="D14" s="45"/>
      <c r="G14" s="45"/>
      <c r="I14" s="45"/>
      <c r="K14" s="24"/>
      <c r="L14" s="24"/>
      <c r="M14" s="24"/>
      <c r="N14" s="24"/>
    </row>
    <row r="15" spans="1:20" x14ac:dyDescent="0.25">
      <c r="A15" s="17" t="s">
        <v>15</v>
      </c>
      <c r="B15" s="15"/>
      <c r="C15" s="15"/>
      <c r="D15" s="16"/>
      <c r="E15" s="15"/>
      <c r="F15" s="15"/>
      <c r="G15" s="16"/>
      <c r="H15" s="15"/>
      <c r="I15" s="16"/>
      <c r="J15" s="15"/>
      <c r="K15" s="24"/>
      <c r="L15" s="24"/>
      <c r="M15" s="24"/>
      <c r="N15" s="24"/>
    </row>
    <row r="16" spans="1:20" x14ac:dyDescent="0.25">
      <c r="A16" t="s">
        <v>35</v>
      </c>
      <c r="B16" s="138">
        <f>IF(C1=Prices!A1, Prices!B13, IF(C1=Prices!A2, Prices!D13, IF(C1=Prices!A3,Prices!G13, "")))</f>
        <v>18.059999999999999</v>
      </c>
      <c r="C16" s="7" t="s">
        <v>38</v>
      </c>
      <c r="D16" s="45" t="s">
        <v>64</v>
      </c>
      <c r="E16" s="50">
        <f>Feed!I5</f>
        <v>4</v>
      </c>
      <c r="F16" s="7" t="s">
        <v>89</v>
      </c>
      <c r="G16" s="45"/>
      <c r="H16" s="6"/>
      <c r="I16" s="14" t="s">
        <v>11</v>
      </c>
      <c r="J16" s="138">
        <f>B16*E16</f>
        <v>72.239999999999995</v>
      </c>
      <c r="K16" s="24"/>
      <c r="L16" s="24"/>
      <c r="M16" s="24"/>
      <c r="N16" s="24"/>
    </row>
    <row r="17" spans="1:14" x14ac:dyDescent="0.25">
      <c r="A17" t="s">
        <v>37</v>
      </c>
      <c r="B17" s="138">
        <f>IF(C1=Prices!A1, Prices!B14, IF(C1=Prices!A2, Prices!D14, IF(C1=Prices!A3,Prices!G14, "")))</f>
        <v>15</v>
      </c>
      <c r="C17" s="7" t="s">
        <v>38</v>
      </c>
      <c r="D17" s="45" t="s">
        <v>64</v>
      </c>
      <c r="E17" s="50">
        <f>Feed!I6</f>
        <v>0</v>
      </c>
      <c r="F17" s="7" t="s">
        <v>89</v>
      </c>
      <c r="G17" s="45"/>
      <c r="H17" s="6"/>
      <c r="I17" s="14" t="s">
        <v>11</v>
      </c>
      <c r="J17" s="138">
        <f t="shared" ref="J17" si="0">B17*E17</f>
        <v>0</v>
      </c>
      <c r="K17" s="24"/>
      <c r="L17" s="24"/>
      <c r="M17" s="24"/>
      <c r="N17" s="24"/>
    </row>
    <row r="18" spans="1:14" x14ac:dyDescent="0.25">
      <c r="A18" t="s">
        <v>36</v>
      </c>
      <c r="B18" s="138">
        <f>IF(Feed!I10&gt;0,(IF(C1=Prices!A1,(((Feed!I7/Feed!I10)*Prices!B11)+((Feed!I8/Feed!I10)*Prices!B10)+((Feed!I9/Feed!I10)*Prices!B12)),IF(C1=Prices!A2,(((Feed!I7/Feed!I10)*Prices!D11)+((Feed!I8/Feed!I10)*Prices!D10)+((Feed!I9/Feed!I10)*Prices!D12)),IF(C1=Prices!A3,((Feed!I7/Feed!I10)*Prices!G11)+((Feed!I8/Feed!I10)*Prices!G10)+((Feed!I9/Feed!I10)*Prices!G12),"")))),0)</f>
        <v>0</v>
      </c>
      <c r="C18" s="7" t="s">
        <v>39</v>
      </c>
      <c r="D18" s="45" t="s">
        <v>64</v>
      </c>
      <c r="E18" s="46">
        <f>Feed!I10</f>
        <v>0</v>
      </c>
      <c r="F18" s="7" t="s">
        <v>90</v>
      </c>
      <c r="G18" s="45"/>
      <c r="H18" s="6"/>
      <c r="I18" s="14" t="s">
        <v>11</v>
      </c>
      <c r="J18" s="138">
        <f>B18*E18</f>
        <v>0</v>
      </c>
      <c r="K18" s="24"/>
      <c r="L18" s="24"/>
      <c r="M18" s="24"/>
      <c r="N18" s="24"/>
    </row>
    <row r="19" spans="1:14" x14ac:dyDescent="0.25">
      <c r="A19" s="30" t="s">
        <v>41</v>
      </c>
      <c r="B19" s="138">
        <f>IF(Feed!I14&gt;0,(IF(C1=Prices!A1,(((Feed!I13/Feed!I14)*Prices!B7)+((Feed!I12/Feed!I14)*Prices!B8)+((Feed!I11/Feed!I14)*(Prices!B6*2000)/56)),IF(C1=Prices!A2,(((Feed!I13/Feed!I14)*Prices!D7)+((Feed!I12/Feed!I14)*Prices!D8)+((Feed!I11/Feed!I14)*(Prices!D6*2000)/56)),IF(C1=Prices!A3,(((Feed!I13/Feed!I14)*Prices!G7)+((Feed!I12/Feed!I14)*Prices!G8)+((Feed!I11/Feed!I14)*(Prices!G6*2000)/56)),"")))),0)</f>
        <v>0</v>
      </c>
      <c r="C19" s="7" t="s">
        <v>39</v>
      </c>
      <c r="D19" s="45" t="s">
        <v>64</v>
      </c>
      <c r="E19" s="46">
        <f>Feed!I14</f>
        <v>0</v>
      </c>
      <c r="F19" s="7" t="s">
        <v>91</v>
      </c>
      <c r="G19" s="45"/>
      <c r="H19" s="6"/>
      <c r="I19" s="14" t="s">
        <v>11</v>
      </c>
      <c r="J19" s="138">
        <f>(B19/2000)*E19</f>
        <v>0</v>
      </c>
      <c r="K19" s="24"/>
      <c r="L19" s="24"/>
      <c r="M19" s="24"/>
      <c r="N19" s="24"/>
    </row>
    <row r="20" spans="1:14" x14ac:dyDescent="0.25">
      <c r="A20" t="s">
        <v>40</v>
      </c>
      <c r="B20" s="138">
        <f>IF(C1=Prices!A1,Prices!B16, IF(C1=Prices!A2,Prices!D16, IF(C1=Prices!A3,Prices!G16, "")))</f>
        <v>550</v>
      </c>
      <c r="C20" s="7" t="s">
        <v>39</v>
      </c>
      <c r="D20" s="45" t="s">
        <v>64</v>
      </c>
      <c r="E20" s="50">
        <f>Feed!I15</f>
        <v>37.5</v>
      </c>
      <c r="F20" s="7" t="s">
        <v>91</v>
      </c>
      <c r="G20" s="45"/>
      <c r="H20" s="6"/>
      <c r="I20" s="14" t="s">
        <v>11</v>
      </c>
      <c r="J20" s="138">
        <f>(B20/2000)*E20</f>
        <v>10.3125</v>
      </c>
      <c r="K20" s="24"/>
      <c r="L20" s="24"/>
      <c r="M20" s="24"/>
      <c r="N20" s="24"/>
    </row>
    <row r="21" spans="1:14" x14ac:dyDescent="0.25">
      <c r="A21" t="s">
        <v>151</v>
      </c>
      <c r="B21" s="129">
        <v>0</v>
      </c>
      <c r="C21" s="7" t="s">
        <v>152</v>
      </c>
      <c r="D21" s="137" t="s">
        <v>64</v>
      </c>
      <c r="E21" s="131">
        <v>0</v>
      </c>
      <c r="F21" s="7" t="s">
        <v>153</v>
      </c>
      <c r="G21" s="137"/>
      <c r="H21" s="6"/>
      <c r="I21" s="14" t="s">
        <v>65</v>
      </c>
      <c r="J21" s="129">
        <f>B21*E21</f>
        <v>0</v>
      </c>
      <c r="K21" s="24"/>
      <c r="L21" s="24"/>
      <c r="M21" s="24"/>
      <c r="N21" s="24"/>
    </row>
    <row r="22" spans="1:14" x14ac:dyDescent="0.25">
      <c r="A22" t="s">
        <v>42</v>
      </c>
      <c r="B22" s="129">
        <v>20</v>
      </c>
      <c r="C22" s="7" t="s">
        <v>79</v>
      </c>
      <c r="D22" s="45" t="s">
        <v>64</v>
      </c>
      <c r="E22" s="131">
        <f>0.2*(B5/30)</f>
        <v>1</v>
      </c>
      <c r="F22" s="7" t="s">
        <v>80</v>
      </c>
      <c r="G22" s="45"/>
      <c r="H22" s="6"/>
      <c r="I22" s="14" t="s">
        <v>11</v>
      </c>
      <c r="J22" s="129">
        <f>B22*E22</f>
        <v>20</v>
      </c>
      <c r="K22" s="24"/>
      <c r="L22" s="24"/>
      <c r="M22" s="24"/>
      <c r="N22" s="24"/>
    </row>
    <row r="23" spans="1:14" x14ac:dyDescent="0.25">
      <c r="A23" t="s">
        <v>43</v>
      </c>
      <c r="B23" s="2"/>
      <c r="C23" s="7"/>
      <c r="D23" s="45"/>
      <c r="E23" s="4"/>
      <c r="F23" s="7"/>
      <c r="G23" s="45"/>
      <c r="H23" s="6"/>
      <c r="I23" s="14"/>
      <c r="J23" s="141">
        <f>ROUND(3.99*J5,0)</f>
        <v>7</v>
      </c>
      <c r="K23" s="24"/>
      <c r="M23" s="24"/>
      <c r="N23" s="24"/>
    </row>
    <row r="24" spans="1:14" x14ac:dyDescent="0.25">
      <c r="A24" t="s">
        <v>67</v>
      </c>
      <c r="B24" s="2"/>
      <c r="C24" s="7"/>
      <c r="D24" s="45"/>
      <c r="E24" s="4"/>
      <c r="F24" s="7"/>
      <c r="G24" s="45"/>
      <c r="H24" s="6"/>
      <c r="I24" s="14"/>
      <c r="J24" s="141">
        <f>ROUND(5.61*J5,0)</f>
        <v>11</v>
      </c>
      <c r="K24" s="24"/>
      <c r="M24" s="24"/>
      <c r="N24" s="24"/>
    </row>
    <row r="25" spans="1:14" x14ac:dyDescent="0.25">
      <c r="A25" t="s">
        <v>44</v>
      </c>
      <c r="B25" s="2"/>
      <c r="C25" s="7"/>
      <c r="D25" s="45"/>
      <c r="E25" s="4"/>
      <c r="F25" s="7"/>
      <c r="G25" s="45"/>
      <c r="H25" s="6"/>
      <c r="I25" s="14"/>
      <c r="J25" s="141">
        <f>ROUND(3.25*J5,0)</f>
        <v>6</v>
      </c>
      <c r="K25" s="24"/>
      <c r="M25" s="24"/>
      <c r="N25" s="24"/>
    </row>
    <row r="26" spans="1:14" x14ac:dyDescent="0.25">
      <c r="A26" t="s">
        <v>81</v>
      </c>
      <c r="B26" s="2"/>
      <c r="C26" s="7"/>
      <c r="D26" s="45"/>
      <c r="E26" s="4"/>
      <c r="F26" s="7"/>
      <c r="G26" s="45"/>
      <c r="H26" s="6"/>
      <c r="I26" s="14"/>
      <c r="J26" s="141">
        <f>ROUND(5.46*J5,0)</f>
        <v>10</v>
      </c>
      <c r="K26" s="24"/>
      <c r="M26" s="24"/>
      <c r="N26" s="24"/>
    </row>
    <row r="27" spans="1:14" x14ac:dyDescent="0.25">
      <c r="A27" t="s">
        <v>149</v>
      </c>
      <c r="B27" s="2"/>
      <c r="C27" s="7"/>
      <c r="D27" s="136"/>
      <c r="E27" s="4"/>
      <c r="F27" s="7"/>
      <c r="G27" s="136"/>
      <c r="H27" s="6"/>
      <c r="I27" s="14"/>
      <c r="J27" s="141">
        <f>ROUND(3.55*J5,0)</f>
        <v>7</v>
      </c>
      <c r="K27" s="24"/>
      <c r="M27" s="24"/>
      <c r="N27" s="24"/>
    </row>
    <row r="28" spans="1:14" x14ac:dyDescent="0.25">
      <c r="A28" s="15" t="s">
        <v>45</v>
      </c>
      <c r="B28" s="15"/>
      <c r="C28" s="41"/>
      <c r="D28" s="16"/>
      <c r="E28" s="42"/>
      <c r="F28" s="41"/>
      <c r="G28" s="16"/>
      <c r="H28" s="43"/>
      <c r="I28" s="44"/>
      <c r="J28" s="142">
        <f>ROUND(1.29*J5,0)</f>
        <v>2</v>
      </c>
      <c r="K28" s="24"/>
      <c r="M28" s="24"/>
      <c r="N28" s="24"/>
    </row>
    <row r="29" spans="1:14" x14ac:dyDescent="0.25">
      <c r="A29" s="9" t="s">
        <v>19</v>
      </c>
      <c r="D29" s="45"/>
      <c r="G29" s="45"/>
      <c r="I29" s="45"/>
      <c r="J29" s="10">
        <f>SUM(J16:J28)</f>
        <v>145.55250000000001</v>
      </c>
      <c r="K29" s="24"/>
      <c r="L29" s="24"/>
      <c r="M29" s="24"/>
      <c r="N29" s="24"/>
    </row>
    <row r="30" spans="1:14" x14ac:dyDescent="0.25">
      <c r="D30" s="45"/>
      <c r="G30" s="45"/>
      <c r="I30" s="45"/>
      <c r="K30" s="24"/>
      <c r="L30" s="24"/>
      <c r="M30" s="24"/>
      <c r="N30" s="24"/>
    </row>
    <row r="31" spans="1:14" x14ac:dyDescent="0.25">
      <c r="A31" s="17" t="s">
        <v>16</v>
      </c>
      <c r="B31" s="15"/>
      <c r="C31" s="15"/>
      <c r="D31" s="16"/>
      <c r="E31" s="15"/>
      <c r="F31" s="15"/>
      <c r="G31" s="16"/>
      <c r="H31" s="15"/>
      <c r="I31" s="16"/>
      <c r="J31" s="15"/>
      <c r="K31" s="24"/>
      <c r="L31" s="24"/>
      <c r="M31" s="24"/>
      <c r="N31" s="24"/>
    </row>
    <row r="32" spans="1:14" x14ac:dyDescent="0.25">
      <c r="A32" t="s">
        <v>46</v>
      </c>
      <c r="D32" s="45"/>
      <c r="G32" s="45"/>
      <c r="I32" s="45"/>
      <c r="J32" s="129">
        <v>10</v>
      </c>
      <c r="K32" s="24"/>
      <c r="L32" s="24"/>
      <c r="M32" s="24"/>
      <c r="N32" s="24"/>
    </row>
    <row r="33" spans="1:14" x14ac:dyDescent="0.25">
      <c r="A33" t="s">
        <v>85</v>
      </c>
      <c r="D33" s="45"/>
      <c r="G33" s="45"/>
      <c r="I33" s="45"/>
      <c r="J33" s="129">
        <v>1.25</v>
      </c>
      <c r="K33" s="24"/>
      <c r="L33" s="24"/>
      <c r="M33" s="24"/>
      <c r="N33" s="24"/>
    </row>
    <row r="34" spans="1:14" x14ac:dyDescent="0.25">
      <c r="A34" t="s">
        <v>83</v>
      </c>
      <c r="D34" s="45"/>
      <c r="G34" s="45"/>
      <c r="I34" s="45"/>
      <c r="J34" s="129">
        <v>1.5</v>
      </c>
      <c r="K34" s="24"/>
      <c r="L34" s="24"/>
      <c r="M34" s="24"/>
      <c r="N34" s="24"/>
    </row>
    <row r="35" spans="1:14" x14ac:dyDescent="0.25">
      <c r="A35" s="33" t="s">
        <v>82</v>
      </c>
      <c r="B35" s="33"/>
      <c r="C35" s="33"/>
      <c r="D35" s="34"/>
      <c r="E35" s="33"/>
      <c r="F35" s="33"/>
      <c r="G35" s="34"/>
      <c r="H35" s="33"/>
      <c r="I35" s="34"/>
      <c r="J35" s="133">
        <v>23</v>
      </c>
      <c r="K35" s="24"/>
      <c r="L35" s="24"/>
      <c r="M35" s="24"/>
      <c r="N35" s="24"/>
    </row>
    <row r="36" spans="1:14" x14ac:dyDescent="0.25">
      <c r="A36" s="56" t="s">
        <v>97</v>
      </c>
      <c r="B36" s="15"/>
      <c r="C36" s="15"/>
      <c r="D36" s="16"/>
      <c r="E36" s="15"/>
      <c r="F36" s="15"/>
      <c r="G36" s="16"/>
      <c r="H36" s="15"/>
      <c r="I36" s="16"/>
      <c r="J36" s="132">
        <v>0</v>
      </c>
      <c r="K36" s="24"/>
      <c r="L36" s="24"/>
      <c r="M36" s="24"/>
      <c r="N36" s="24"/>
    </row>
    <row r="37" spans="1:14" x14ac:dyDescent="0.25">
      <c r="A37" s="9" t="s">
        <v>17</v>
      </c>
      <c r="D37" s="45"/>
      <c r="G37" s="45"/>
      <c r="I37" s="45"/>
      <c r="J37" s="10">
        <f>SUM(J32:J36)</f>
        <v>35.75</v>
      </c>
      <c r="K37" s="24"/>
      <c r="L37" s="24"/>
      <c r="M37" s="24"/>
      <c r="N37" s="24"/>
    </row>
    <row r="38" spans="1:14" x14ac:dyDescent="0.25">
      <c r="D38" s="45"/>
      <c r="G38" s="45"/>
      <c r="I38" s="45"/>
      <c r="K38" s="24"/>
      <c r="L38" s="24"/>
      <c r="M38" s="24"/>
      <c r="N38" s="24"/>
    </row>
    <row r="39" spans="1:14" ht="15" customHeight="1" x14ac:dyDescent="0.25">
      <c r="A39" s="17" t="s">
        <v>18</v>
      </c>
      <c r="B39" s="15"/>
      <c r="C39" s="15"/>
      <c r="D39" s="16"/>
      <c r="E39" s="15"/>
      <c r="F39" s="15"/>
      <c r="G39" s="16"/>
      <c r="H39" s="15"/>
      <c r="I39" s="16"/>
      <c r="J39" s="18">
        <f>J29+J37</f>
        <v>181.30250000000001</v>
      </c>
      <c r="K39" s="94"/>
      <c r="L39" s="24"/>
      <c r="M39" s="24"/>
      <c r="N39" s="24"/>
    </row>
    <row r="40" spans="1:14" x14ac:dyDescent="0.25">
      <c r="A40" s="32"/>
      <c r="B40" s="33"/>
      <c r="C40" s="33"/>
      <c r="D40" s="34"/>
      <c r="E40" s="33"/>
      <c r="F40" s="33"/>
      <c r="G40" s="34"/>
      <c r="H40" s="33"/>
      <c r="I40" s="34"/>
      <c r="J40" s="19"/>
    </row>
    <row r="41" spans="1:14" x14ac:dyDescent="0.25">
      <c r="A41" t="s">
        <v>47</v>
      </c>
      <c r="D41" s="45"/>
      <c r="G41" s="45"/>
      <c r="I41" s="45"/>
      <c r="J41" s="5">
        <f>J13-J29</f>
        <v>40.595399249499991</v>
      </c>
    </row>
    <row r="42" spans="1:14" ht="15.75" thickBot="1" x14ac:dyDescent="0.3">
      <c r="A42" s="3" t="s">
        <v>20</v>
      </c>
      <c r="D42" s="45"/>
      <c r="G42" s="45"/>
      <c r="I42" s="45"/>
      <c r="J42" s="26">
        <f>J13-J39</f>
        <v>4.8453992494999909</v>
      </c>
    </row>
    <row r="43" spans="1:14" ht="31.5" customHeight="1" thickTop="1" x14ac:dyDescent="0.25">
      <c r="A43" s="32"/>
      <c r="B43" s="33"/>
      <c r="C43" s="33"/>
      <c r="D43" s="71"/>
      <c r="E43" s="33"/>
      <c r="F43" s="33"/>
      <c r="G43" s="71"/>
      <c r="H43" s="33"/>
      <c r="I43" s="71"/>
      <c r="J43" s="19"/>
    </row>
    <row r="44" spans="1:14" ht="15" customHeight="1" x14ac:dyDescent="0.25">
      <c r="A44" s="148" t="s">
        <v>60</v>
      </c>
      <c r="B44" s="149"/>
      <c r="C44" s="149"/>
      <c r="D44" s="149"/>
      <c r="E44" s="149"/>
      <c r="F44" s="149"/>
      <c r="G44" s="149"/>
      <c r="H44" s="149"/>
      <c r="I44" s="149"/>
      <c r="J44" s="149"/>
    </row>
    <row r="45" spans="1:14" ht="15.75" x14ac:dyDescent="0.25">
      <c r="A45" s="36" t="s">
        <v>127</v>
      </c>
      <c r="B45" s="36"/>
      <c r="C45" s="36"/>
      <c r="D45" s="36"/>
      <c r="E45" s="36"/>
      <c r="F45" s="36"/>
      <c r="G45" s="36"/>
      <c r="H45" s="36"/>
      <c r="I45" s="36"/>
      <c r="J45" s="36" t="str">
        <f>TEXT(Notes!D2,"MMM. DD, YYYY")</f>
        <v>Dec. 01, 2015</v>
      </c>
    </row>
    <row r="46" spans="1:14" x14ac:dyDescent="0.25">
      <c r="B46" s="40"/>
    </row>
    <row r="47" spans="1:14" ht="19.5" thickBot="1" x14ac:dyDescent="0.35">
      <c r="A47" s="154" t="s">
        <v>84</v>
      </c>
      <c r="B47" s="155"/>
      <c r="C47" s="156"/>
      <c r="D47" s="156"/>
      <c r="E47" s="156"/>
      <c r="F47" s="156"/>
      <c r="G47" s="157"/>
      <c r="H47" s="157"/>
      <c r="I47" s="157"/>
      <c r="J47" s="157"/>
    </row>
    <row r="90" spans="1:10" ht="37.5" customHeight="1" x14ac:dyDescent="0.25"/>
    <row r="91" spans="1:10" x14ac:dyDescent="0.25">
      <c r="A91" s="148" t="s">
        <v>60</v>
      </c>
      <c r="B91" s="149"/>
      <c r="C91" s="149"/>
      <c r="D91" s="149"/>
      <c r="E91" s="149"/>
      <c r="F91" s="149"/>
      <c r="G91" s="149"/>
      <c r="H91" s="149"/>
      <c r="I91" s="149"/>
      <c r="J91" s="149"/>
    </row>
    <row r="92" spans="1:10" ht="15.75" x14ac:dyDescent="0.25">
      <c r="A92" s="36" t="s">
        <v>127</v>
      </c>
      <c r="B92" s="36"/>
      <c r="C92" s="36"/>
      <c r="D92" s="36"/>
      <c r="E92" s="36"/>
      <c r="F92" s="36"/>
      <c r="G92" s="36"/>
      <c r="H92" s="36"/>
      <c r="I92" s="36"/>
      <c r="J92" s="36" t="str">
        <f>J45</f>
        <v>Dec. 01, 2015</v>
      </c>
    </row>
    <row r="93" spans="1:10" ht="0.75" customHeight="1" x14ac:dyDescent="0.25">
      <c r="A93" s="68"/>
      <c r="B93" s="68"/>
      <c r="C93" s="68"/>
      <c r="D93" s="68"/>
      <c r="E93" s="68"/>
      <c r="F93" s="68"/>
      <c r="G93" s="68"/>
      <c r="H93" s="68"/>
      <c r="I93" s="68"/>
      <c r="J93" s="68"/>
    </row>
    <row r="94" spans="1:10" ht="19.5" thickBot="1" x14ac:dyDescent="0.35">
      <c r="A94" s="154" t="s">
        <v>84</v>
      </c>
      <c r="B94" s="155"/>
      <c r="C94" s="156"/>
      <c r="D94" s="156"/>
      <c r="E94" s="156"/>
      <c r="F94" s="156"/>
      <c r="G94" s="157"/>
      <c r="H94" s="157"/>
      <c r="I94" s="157"/>
      <c r="J94" s="157"/>
    </row>
    <row r="95" spans="1:10" ht="15.75" x14ac:dyDescent="0.25">
      <c r="A95" s="69" t="s">
        <v>112</v>
      </c>
    </row>
    <row r="97" spans="1:5" ht="15.75" thickBot="1" x14ac:dyDescent="0.3">
      <c r="A97" s="52" t="s">
        <v>78</v>
      </c>
      <c r="B97" s="51" t="s">
        <v>105</v>
      </c>
      <c r="C97" s="51"/>
      <c r="D97" s="51"/>
      <c r="E97" s="51"/>
    </row>
    <row r="98" spans="1:5" x14ac:dyDescent="0.25">
      <c r="A98" s="3"/>
      <c r="B98" s="17" t="s">
        <v>27</v>
      </c>
      <c r="C98" s="17" t="s">
        <v>8</v>
      </c>
    </row>
    <row r="99" spans="1:5" x14ac:dyDescent="0.25">
      <c r="A99" t="s">
        <v>35</v>
      </c>
      <c r="B99" s="50">
        <f>Feed!I5</f>
        <v>4</v>
      </c>
      <c r="C99" s="7" t="s">
        <v>104</v>
      </c>
    </row>
    <row r="100" spans="1:5" x14ac:dyDescent="0.25">
      <c r="A100" t="s">
        <v>37</v>
      </c>
      <c r="B100" s="50">
        <f>Feed!I6</f>
        <v>0</v>
      </c>
      <c r="C100" s="7" t="s">
        <v>104</v>
      </c>
    </row>
    <row r="101" spans="1:5" x14ac:dyDescent="0.25">
      <c r="A101" s="48" t="s">
        <v>140</v>
      </c>
      <c r="B101" s="62">
        <f>Feed!I7</f>
        <v>0</v>
      </c>
      <c r="C101" s="7" t="s">
        <v>137</v>
      </c>
    </row>
    <row r="102" spans="1:5" x14ac:dyDescent="0.25">
      <c r="A102" s="48" t="s">
        <v>102</v>
      </c>
      <c r="B102" s="62">
        <f>Feed!I8</f>
        <v>0</v>
      </c>
      <c r="C102" s="7" t="s">
        <v>137</v>
      </c>
    </row>
    <row r="103" spans="1:5" x14ac:dyDescent="0.25">
      <c r="A103" s="48" t="s">
        <v>70</v>
      </c>
      <c r="B103" s="62">
        <f>Feed!I9</f>
        <v>0</v>
      </c>
      <c r="C103" s="7" t="s">
        <v>137</v>
      </c>
    </row>
    <row r="104" spans="1:5" x14ac:dyDescent="0.25">
      <c r="A104" t="s">
        <v>101</v>
      </c>
      <c r="B104" s="62">
        <f>Feed!I10</f>
        <v>0</v>
      </c>
      <c r="C104" s="7" t="s">
        <v>137</v>
      </c>
    </row>
    <row r="105" spans="1:5" x14ac:dyDescent="0.25">
      <c r="A105" s="48" t="s">
        <v>73</v>
      </c>
      <c r="B105" s="62">
        <f>Feed!I11</f>
        <v>0</v>
      </c>
      <c r="C105" s="7" t="s">
        <v>136</v>
      </c>
    </row>
    <row r="106" spans="1:5" x14ac:dyDescent="0.25">
      <c r="A106" s="48" t="s">
        <v>74</v>
      </c>
      <c r="B106" s="62">
        <f>Feed!I12</f>
        <v>0</v>
      </c>
      <c r="C106" s="7" t="s">
        <v>136</v>
      </c>
    </row>
    <row r="107" spans="1:5" x14ac:dyDescent="0.25">
      <c r="A107" s="48" t="s">
        <v>75</v>
      </c>
      <c r="B107" s="62">
        <f>Feed!I13</f>
        <v>0</v>
      </c>
      <c r="C107" s="7" t="s">
        <v>136</v>
      </c>
    </row>
    <row r="108" spans="1:5" x14ac:dyDescent="0.25">
      <c r="A108" t="s">
        <v>100</v>
      </c>
      <c r="B108" s="62">
        <f>Feed!I14</f>
        <v>0</v>
      </c>
      <c r="C108" s="7" t="s">
        <v>136</v>
      </c>
    </row>
    <row r="109" spans="1:5" x14ac:dyDescent="0.25">
      <c r="A109" t="s">
        <v>58</v>
      </c>
      <c r="B109" s="62">
        <f>Feed!I15</f>
        <v>37.5</v>
      </c>
      <c r="C109" s="7" t="s">
        <v>136</v>
      </c>
    </row>
    <row r="114" spans="1:6" ht="15.75" thickBot="1" x14ac:dyDescent="0.3">
      <c r="A114" s="52" t="s">
        <v>147</v>
      </c>
      <c r="B114" s="51"/>
      <c r="C114" s="51"/>
      <c r="D114" s="51"/>
      <c r="E114" s="51"/>
      <c r="F114" s="51"/>
    </row>
    <row r="115" spans="1:6" ht="15" customHeight="1" x14ac:dyDescent="0.25">
      <c r="A115" s="64"/>
      <c r="B115" s="72" t="s">
        <v>113</v>
      </c>
      <c r="C115" s="160" t="s">
        <v>114</v>
      </c>
      <c r="D115" s="160"/>
      <c r="E115" s="161" t="s">
        <v>115</v>
      </c>
      <c r="F115" s="161"/>
    </row>
    <row r="116" spans="1:6" x14ac:dyDescent="0.25">
      <c r="A116" t="s">
        <v>117</v>
      </c>
      <c r="B116" s="65">
        <f>Prices!B18</f>
        <v>189.01480000000001</v>
      </c>
      <c r="C116" s="158">
        <f>Prices!D18</f>
        <v>183.53980000000001</v>
      </c>
      <c r="D116" s="159"/>
      <c r="E116" s="158">
        <f>Prices!G18</f>
        <v>217.07534340665507</v>
      </c>
      <c r="F116" s="159"/>
    </row>
    <row r="117" spans="1:6" x14ac:dyDescent="0.25">
      <c r="A117" t="s">
        <v>120</v>
      </c>
      <c r="B117" s="65">
        <f>Prices!B19</f>
        <v>206.45964910000001</v>
      </c>
      <c r="C117" s="158">
        <f>Prices!D19</f>
        <v>200.98464910000001</v>
      </c>
      <c r="D117" s="159"/>
      <c r="E117" s="158">
        <f>Prices!G19</f>
        <v>237.11</v>
      </c>
      <c r="F117" s="159"/>
    </row>
    <row r="118" spans="1:6" x14ac:dyDescent="0.25">
      <c r="A118" t="s">
        <v>118</v>
      </c>
      <c r="B118" s="65">
        <f>Prices!B20</f>
        <v>180.75</v>
      </c>
      <c r="C118" s="158">
        <f>Prices!D20</f>
        <v>175.27500000000001</v>
      </c>
      <c r="D118" s="159"/>
      <c r="E118" s="158">
        <f>Prices!G20</f>
        <v>193.23</v>
      </c>
      <c r="F118" s="159"/>
    </row>
    <row r="119" spans="1:6" x14ac:dyDescent="0.25">
      <c r="A119" t="s">
        <v>13</v>
      </c>
      <c r="B119" s="65">
        <f>Prices!B6</f>
        <v>3.77</v>
      </c>
      <c r="C119" s="158">
        <f>Prices!D6</f>
        <v>4.0660000000000007</v>
      </c>
      <c r="D119" s="159"/>
      <c r="E119" s="158">
        <f>Prices!G6</f>
        <v>3.55</v>
      </c>
      <c r="F119" s="159"/>
    </row>
    <row r="120" spans="1:6" x14ac:dyDescent="0.25">
      <c r="A120" t="s">
        <v>14</v>
      </c>
      <c r="B120" s="65">
        <f>Prices!B7</f>
        <v>281.60000000000002</v>
      </c>
      <c r="C120" s="158">
        <f>Prices!D7</f>
        <v>291.7</v>
      </c>
      <c r="D120" s="159"/>
      <c r="E120" s="158">
        <f>Prices!G7</f>
        <v>326</v>
      </c>
      <c r="F120" s="159"/>
    </row>
    <row r="121" spans="1:6" x14ac:dyDescent="0.25">
      <c r="A121" t="s">
        <v>116</v>
      </c>
      <c r="B121" s="65">
        <f>Prices!B8</f>
        <v>147.5</v>
      </c>
      <c r="C121" s="158">
        <f>Prices!D8</f>
        <v>159.08090185676394</v>
      </c>
      <c r="D121" s="159"/>
      <c r="E121" s="158">
        <f>Prices!G8</f>
        <v>138.89257294429709</v>
      </c>
      <c r="F121" s="159"/>
    </row>
    <row r="122" spans="1:6" x14ac:dyDescent="0.25">
      <c r="A122" t="s">
        <v>109</v>
      </c>
      <c r="B122" s="65">
        <f>Prices!B10</f>
        <v>30.16</v>
      </c>
      <c r="C122" s="158">
        <f>Prices!D10</f>
        <v>32.528000000000006</v>
      </c>
      <c r="D122" s="159"/>
      <c r="E122" s="158">
        <f>Prices!G10</f>
        <v>28.4</v>
      </c>
      <c r="F122" s="159"/>
    </row>
    <row r="123" spans="1:6" x14ac:dyDescent="0.25">
      <c r="A123" t="s">
        <v>92</v>
      </c>
      <c r="B123" s="65">
        <f>Prices!B11</f>
        <v>60</v>
      </c>
      <c r="C123" s="158">
        <f>Prices!D11</f>
        <v>64.710875331564992</v>
      </c>
      <c r="D123" s="159"/>
      <c r="E123" s="158">
        <f>Prices!G11</f>
        <v>56.49867374005305</v>
      </c>
      <c r="F123" s="159"/>
    </row>
    <row r="124" spans="1:6" x14ac:dyDescent="0.25">
      <c r="A124" t="s">
        <v>93</v>
      </c>
      <c r="B124" s="65">
        <f>Prices!B12</f>
        <v>115</v>
      </c>
      <c r="C124" s="158">
        <f>Prices!D12</f>
        <v>124.0291777188329</v>
      </c>
      <c r="D124" s="159"/>
      <c r="E124" s="158">
        <f>Prices!G12</f>
        <v>108.28912466843501</v>
      </c>
      <c r="F124" s="159"/>
    </row>
    <row r="125" spans="1:6" x14ac:dyDescent="0.25">
      <c r="A125" t="s">
        <v>94</v>
      </c>
      <c r="B125" s="65">
        <f>Prices!B13</f>
        <v>18.059999999999999</v>
      </c>
      <c r="C125" s="158">
        <f>Prices!D13</f>
        <v>18.421199999999999</v>
      </c>
      <c r="D125" s="159"/>
      <c r="E125" s="158">
        <f>Prices!G13</f>
        <v>19.866</v>
      </c>
      <c r="F125" s="159"/>
    </row>
    <row r="126" spans="1:6" x14ac:dyDescent="0.25">
      <c r="A126" t="s">
        <v>95</v>
      </c>
      <c r="B126" s="65">
        <f>Prices!B14</f>
        <v>15</v>
      </c>
      <c r="C126" s="158">
        <f>Prices!D14</f>
        <v>15.3</v>
      </c>
      <c r="D126" s="159"/>
      <c r="E126" s="158">
        <f>Prices!G14</f>
        <v>16.5</v>
      </c>
      <c r="F126" s="159"/>
    </row>
    <row r="127" spans="1:6" x14ac:dyDescent="0.25">
      <c r="A127" t="s">
        <v>96</v>
      </c>
      <c r="B127" s="65">
        <f>Prices!B16</f>
        <v>550</v>
      </c>
      <c r="C127" s="158">
        <f>Prices!D16</f>
        <v>561</v>
      </c>
      <c r="D127" s="159"/>
      <c r="E127" s="158">
        <f>Prices!G16</f>
        <v>605</v>
      </c>
      <c r="F127" s="159"/>
    </row>
    <row r="128" spans="1:6" x14ac:dyDescent="0.25">
      <c r="B128" s="65"/>
      <c r="C128" s="70"/>
      <c r="D128" s="71"/>
      <c r="E128" s="70"/>
      <c r="F128" s="71"/>
    </row>
    <row r="129" spans="1:10" ht="58.5" customHeight="1" x14ac:dyDescent="0.25">
      <c r="B129" s="65"/>
      <c r="C129" s="70"/>
      <c r="D129" s="71"/>
      <c r="E129" s="70"/>
      <c r="F129" s="71"/>
    </row>
    <row r="130" spans="1:10" x14ac:dyDescent="0.25">
      <c r="B130" s="65"/>
      <c r="C130" s="70"/>
      <c r="D130" s="71"/>
      <c r="E130" s="70"/>
      <c r="F130" s="71"/>
    </row>
    <row r="131" spans="1:10" x14ac:dyDescent="0.25">
      <c r="B131" s="65"/>
      <c r="C131" s="70"/>
      <c r="D131" s="71"/>
      <c r="E131" s="70"/>
      <c r="F131" s="71"/>
    </row>
    <row r="132" spans="1:10" x14ac:dyDescent="0.25">
      <c r="B132" s="65"/>
      <c r="C132" s="70"/>
      <c r="D132" s="71"/>
      <c r="E132" s="70"/>
      <c r="F132" s="71"/>
    </row>
    <row r="133" spans="1:10" x14ac:dyDescent="0.25">
      <c r="B133" s="65"/>
      <c r="C133" s="70"/>
      <c r="D133" s="71"/>
      <c r="E133" s="70"/>
      <c r="F133" s="71"/>
    </row>
    <row r="134" spans="1:10" x14ac:dyDescent="0.25">
      <c r="B134" s="65"/>
      <c r="C134" s="70"/>
      <c r="D134" s="71"/>
      <c r="E134" s="70"/>
      <c r="F134" s="71"/>
    </row>
    <row r="135" spans="1:10" x14ac:dyDescent="0.25">
      <c r="A135" s="148" t="s">
        <v>60</v>
      </c>
      <c r="B135" s="149"/>
      <c r="C135" s="149"/>
      <c r="D135" s="149"/>
      <c r="E135" s="149"/>
      <c r="F135" s="149"/>
      <c r="G135" s="149"/>
      <c r="H135" s="149"/>
      <c r="I135" s="149"/>
      <c r="J135" s="149"/>
    </row>
    <row r="136" spans="1:10" ht="15.75" x14ac:dyDescent="0.25">
      <c r="A136" s="36" t="s">
        <v>127</v>
      </c>
      <c r="B136" s="36"/>
      <c r="C136" s="36"/>
      <c r="D136" s="36"/>
      <c r="E136" s="36"/>
      <c r="F136" s="36"/>
      <c r="G136" s="36"/>
      <c r="H136" s="36"/>
      <c r="I136" s="36"/>
      <c r="J136" s="36" t="str">
        <f>J92</f>
        <v>Dec. 01, 2015</v>
      </c>
    </row>
  </sheetData>
  <sheetProtection sheet="1" objects="1" scenarios="1"/>
  <mergeCells count="41">
    <mergeCell ref="A1:B1"/>
    <mergeCell ref="C5:E5"/>
    <mergeCell ref="C1:F1"/>
    <mergeCell ref="G1:J1"/>
    <mergeCell ref="A44:J44"/>
    <mergeCell ref="A47:B47"/>
    <mergeCell ref="C47:F47"/>
    <mergeCell ref="G47:J47"/>
    <mergeCell ref="A91:J91"/>
    <mergeCell ref="A94:B94"/>
    <mergeCell ref="C94:F94"/>
    <mergeCell ref="G94:J94"/>
    <mergeCell ref="C115:D115"/>
    <mergeCell ref="E115:F115"/>
    <mergeCell ref="C116:D116"/>
    <mergeCell ref="E116:F116"/>
    <mergeCell ref="C117:D117"/>
    <mergeCell ref="E117:F117"/>
    <mergeCell ref="E123:F123"/>
    <mergeCell ref="C118:D118"/>
    <mergeCell ref="E118:F118"/>
    <mergeCell ref="C119:D119"/>
    <mergeCell ref="E119:F119"/>
    <mergeCell ref="C120:D120"/>
    <mergeCell ref="E120:F120"/>
    <mergeCell ref="C127:D127"/>
    <mergeCell ref="E127:F127"/>
    <mergeCell ref="A135:J135"/>
    <mergeCell ref="C6:E6"/>
    <mergeCell ref="I4:J4"/>
    <mergeCell ref="C124:D124"/>
    <mergeCell ref="E124:F124"/>
    <mergeCell ref="C125:D125"/>
    <mergeCell ref="E125:F125"/>
    <mergeCell ref="C126:D126"/>
    <mergeCell ref="E126:F126"/>
    <mergeCell ref="C121:D121"/>
    <mergeCell ref="E121:F121"/>
    <mergeCell ref="C122:D122"/>
    <mergeCell ref="E122:F122"/>
    <mergeCell ref="C123:D123"/>
  </mergeCells>
  <dataValidations count="1">
    <dataValidation type="list" showInputMessage="1" showErrorMessage="1" prompt="Select a price horizon to budget from" sqref="C1">
      <formula1>price_selections</formula1>
    </dataValidation>
  </dataValidations>
  <pageMargins left="0.25" right="0.25" top="0.75" bottom="0.5" header="0.3" footer="0"/>
  <pageSetup scale="98" orientation="portrait" horizontalDpi="4294967295" verticalDpi="4294967295" r:id="rId1"/>
  <headerFooter>
    <oddHeader>&amp;L&amp;"-,Bold"&amp;20FARM MANAGEMENT GUIDE</oddHeader>
  </headerFooter>
  <rowBreaks count="2" manualBreakCount="2">
    <brk id="46" max="9" man="1"/>
    <brk id="9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locked="0" defaultSize="0" print="0" autoFill="0" autoPict="0" macro="[0]!PrintStockerBudget">
                <anchor moveWithCells="1" sizeWithCells="1">
                  <from>
                    <xdr:col>11</xdr:col>
                    <xdr:colOff>19050</xdr:colOff>
                    <xdr:row>2</xdr:row>
                    <xdr:rowOff>171450</xdr:rowOff>
                  </from>
                  <to>
                    <xdr:col>14</xdr:col>
                    <xdr:colOff>428625</xdr:colOff>
                    <xdr:row>4</xdr:row>
                    <xdr:rowOff>114300</xdr:rowOff>
                  </to>
                </anchor>
              </controlPr>
            </control>
          </mc:Choice>
        </mc:AlternateContent>
        <mc:AlternateContent xmlns:mc="http://schemas.openxmlformats.org/markup-compatibility/2006">
          <mc:Choice Requires="x14">
            <control shapeId="13314" r:id="rId5" name="Button 2">
              <controlPr defaultSize="0" print="0" autoFill="0" autoPict="0" macro="[0]!PrintStockerPage">
                <anchor moveWithCells="1" sizeWithCells="1">
                  <from>
                    <xdr:col>10</xdr:col>
                    <xdr:colOff>600075</xdr:colOff>
                    <xdr:row>5</xdr:row>
                    <xdr:rowOff>152400</xdr:rowOff>
                  </from>
                  <to>
                    <xdr:col>14</xdr:col>
                    <xdr:colOff>438150</xdr:colOff>
                    <xdr:row>7</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T134"/>
  <sheetViews>
    <sheetView zoomScale="110" zoomScaleNormal="110" zoomScaleSheetLayoutView="80" workbookViewId="0">
      <selection activeCell="P31" sqref="P31"/>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7" width="5" customWidth="1"/>
    <col min="8" max="8" width="3.7109375" customWidth="1"/>
    <col min="9" max="9" width="5.42578125" customWidth="1"/>
    <col min="10" max="10" width="16.42578125" customWidth="1"/>
  </cols>
  <sheetData>
    <row r="1" spans="1:20" ht="15" customHeight="1" x14ac:dyDescent="0.25">
      <c r="A1" s="150" t="s">
        <v>125</v>
      </c>
      <c r="B1" s="151"/>
      <c r="C1" s="152" t="s">
        <v>29</v>
      </c>
      <c r="D1" s="152"/>
      <c r="E1" s="152"/>
      <c r="F1" s="152"/>
      <c r="G1" s="163" t="str">
        <f>IF(C1=Prices!B4,TEXT(Prices!B5,"MMM-YYYY"),IF(C1=Prices!D4,TEXT(Prices!D5,"MMM-YYYY"),TEXT(Prices!G5,"MMM-YYYY")))</f>
        <v>(as of December 1, 2015)</v>
      </c>
      <c r="H1" s="163"/>
      <c r="I1" s="163"/>
      <c r="J1" s="163"/>
      <c r="K1" s="79"/>
    </row>
    <row r="2" spans="1:20" x14ac:dyDescent="0.25">
      <c r="A2" s="22"/>
      <c r="B2" s="23"/>
      <c r="C2" s="24"/>
      <c r="D2" s="25"/>
      <c r="E2" s="24"/>
      <c r="F2" s="24"/>
      <c r="G2" s="25"/>
      <c r="H2" s="24"/>
      <c r="I2" s="25"/>
      <c r="J2" s="24"/>
      <c r="L2" s="77" t="s">
        <v>132</v>
      </c>
      <c r="M2" s="78"/>
      <c r="N2" s="78"/>
      <c r="O2" s="78"/>
      <c r="P2" s="78"/>
      <c r="Q2" s="78"/>
      <c r="R2" s="78"/>
      <c r="S2" s="78"/>
      <c r="T2" s="78"/>
    </row>
    <row r="3" spans="1:20" x14ac:dyDescent="0.25">
      <c r="A3" s="12" t="s">
        <v>6</v>
      </c>
      <c r="D3" s="45"/>
      <c r="G3" s="45"/>
      <c r="I3" s="45"/>
    </row>
    <row r="4" spans="1:20" x14ac:dyDescent="0.25">
      <c r="A4" t="s">
        <v>66</v>
      </c>
      <c r="B4" s="128">
        <v>1.4999999999999999E-2</v>
      </c>
      <c r="D4" s="45"/>
      <c r="F4" s="47"/>
      <c r="G4" s="45"/>
      <c r="I4" s="164" t="s">
        <v>133</v>
      </c>
      <c r="J4" s="164"/>
    </row>
    <row r="5" spans="1:20" x14ac:dyDescent="0.25">
      <c r="A5" t="s">
        <v>69</v>
      </c>
      <c r="B5" s="131">
        <v>160</v>
      </c>
      <c r="C5" s="162" t="s">
        <v>68</v>
      </c>
      <c r="D5" s="162"/>
      <c r="E5" s="162"/>
      <c r="F5" s="135">
        <v>3.7</v>
      </c>
      <c r="G5" s="45"/>
      <c r="I5" s="45"/>
      <c r="J5" s="80">
        <f>(E8-E9)/100</f>
        <v>5.92</v>
      </c>
    </row>
    <row r="6" spans="1:20" x14ac:dyDescent="0.25">
      <c r="D6" s="45"/>
      <c r="G6" s="45"/>
      <c r="I6" s="45"/>
    </row>
    <row r="7" spans="1:20" ht="30" x14ac:dyDescent="0.25">
      <c r="A7" s="17" t="s">
        <v>86</v>
      </c>
      <c r="B7" s="17" t="s">
        <v>7</v>
      </c>
      <c r="C7" s="17" t="s">
        <v>8</v>
      </c>
      <c r="D7" s="17"/>
      <c r="E7" s="17" t="s">
        <v>27</v>
      </c>
      <c r="F7" s="17" t="s">
        <v>8</v>
      </c>
      <c r="G7" s="17"/>
      <c r="H7" s="17"/>
      <c r="I7" s="17"/>
      <c r="J7" s="17" t="s">
        <v>31</v>
      </c>
      <c r="K7" s="24"/>
    </row>
    <row r="8" spans="1:20" x14ac:dyDescent="0.25">
      <c r="A8" t="s">
        <v>130</v>
      </c>
      <c r="B8" s="143">
        <f>(IF(C1=Prices!A1,Prices!B21,IF(C1=Prices!A2,Prices!D21,IF(C1=Prices!A3,Prices!G21,""))))</f>
        <v>126.34</v>
      </c>
      <c r="C8" s="7" t="s">
        <v>59</v>
      </c>
      <c r="D8" s="45" t="s">
        <v>64</v>
      </c>
      <c r="E8" s="46">
        <f>E9+(B5*F5)</f>
        <v>1367</v>
      </c>
      <c r="F8" s="7" t="s">
        <v>9</v>
      </c>
      <c r="G8" s="45"/>
      <c r="H8" s="6"/>
      <c r="I8" s="14" t="s">
        <v>65</v>
      </c>
      <c r="J8" s="5">
        <f>B8*(E8/100)</f>
        <v>1727.0678</v>
      </c>
      <c r="K8" s="76"/>
      <c r="L8" s="24"/>
      <c r="M8" s="24"/>
      <c r="N8" s="24"/>
    </row>
    <row r="9" spans="1:20" x14ac:dyDescent="0.25">
      <c r="A9" t="s">
        <v>62</v>
      </c>
      <c r="B9" s="138">
        <f>(IF(C1=Prices!A1,Prices!B20,IF(C1=Prices!A2,Prices!D20,IF(C1=Prices!A3,Prices!G20,""))))</f>
        <v>180.75</v>
      </c>
      <c r="C9" s="7" t="s">
        <v>59</v>
      </c>
      <c r="D9" s="45" t="s">
        <v>64</v>
      </c>
      <c r="E9" s="130">
        <v>775</v>
      </c>
      <c r="F9" s="7" t="s">
        <v>9</v>
      </c>
      <c r="G9" s="45"/>
      <c r="H9" s="6"/>
      <c r="I9" s="14" t="s">
        <v>65</v>
      </c>
      <c r="J9" s="5">
        <f>-(B9*(E9/100))</f>
        <v>-1400.8125</v>
      </c>
      <c r="K9" s="24"/>
      <c r="L9" s="24"/>
      <c r="M9" s="24"/>
      <c r="N9" s="24"/>
    </row>
    <row r="10" spans="1:20" x14ac:dyDescent="0.25">
      <c r="A10" t="s">
        <v>66</v>
      </c>
      <c r="B10" s="2"/>
      <c r="C10" s="7"/>
      <c r="D10" s="45"/>
      <c r="E10" s="35"/>
      <c r="F10" s="7"/>
      <c r="G10" s="45"/>
      <c r="H10" s="6"/>
      <c r="I10" s="14"/>
      <c r="J10" s="5">
        <f>(B4*J9)</f>
        <v>-21.0121875</v>
      </c>
      <c r="K10" s="24"/>
      <c r="L10" s="24"/>
      <c r="M10" s="24"/>
      <c r="N10" s="24"/>
      <c r="R10" s="5"/>
      <c r="S10" s="5"/>
    </row>
    <row r="11" spans="1:20" x14ac:dyDescent="0.25">
      <c r="A11" t="s">
        <v>34</v>
      </c>
      <c r="B11" s="2"/>
      <c r="C11" s="7"/>
      <c r="D11" s="45"/>
      <c r="E11" s="4"/>
      <c r="F11" s="7"/>
      <c r="G11" s="45"/>
      <c r="H11" s="6"/>
      <c r="I11" s="14"/>
      <c r="J11" s="2"/>
      <c r="K11" s="24"/>
      <c r="L11" s="24"/>
      <c r="M11" s="24"/>
      <c r="N11" s="24"/>
    </row>
    <row r="12" spans="1:20" x14ac:dyDescent="0.25">
      <c r="A12" s="20" t="s">
        <v>87</v>
      </c>
      <c r="B12" s="15"/>
      <c r="C12" s="15"/>
      <c r="D12" s="16"/>
      <c r="E12" s="15"/>
      <c r="F12" s="15"/>
      <c r="G12" s="16"/>
      <c r="H12" s="15"/>
      <c r="I12" s="16"/>
      <c r="J12" s="18">
        <f>SUM(J8:J11)</f>
        <v>305.24311250000005</v>
      </c>
      <c r="K12" s="24"/>
      <c r="L12" s="24"/>
      <c r="M12" s="24"/>
      <c r="N12" s="24"/>
    </row>
    <row r="13" spans="1:20" x14ac:dyDescent="0.25">
      <c r="A13" s="9"/>
      <c r="D13" s="45"/>
      <c r="G13" s="45"/>
      <c r="I13" s="45"/>
      <c r="K13" s="24"/>
      <c r="L13" s="24"/>
      <c r="M13" s="24"/>
      <c r="N13" s="24"/>
    </row>
    <row r="14" spans="1:20" x14ac:dyDescent="0.25">
      <c r="A14" s="17" t="s">
        <v>15</v>
      </c>
      <c r="B14" s="15"/>
      <c r="C14" s="15"/>
      <c r="D14" s="16"/>
      <c r="E14" s="15"/>
      <c r="F14" s="15"/>
      <c r="G14" s="16"/>
      <c r="H14" s="15"/>
      <c r="I14" s="16"/>
      <c r="J14" s="15"/>
      <c r="K14" s="24"/>
      <c r="L14" s="24"/>
      <c r="M14" s="24"/>
      <c r="N14" s="24"/>
    </row>
    <row r="15" spans="1:20" x14ac:dyDescent="0.25">
      <c r="A15" t="s">
        <v>36</v>
      </c>
      <c r="B15" s="138">
        <f>IF(C1=Prices!A1,(((Feed!I20/Feed!I23)*Prices!B11)+((Feed!I21/Feed!I23)*Prices!B10)+((Feed!I22/Feed!I23)*Prices!B12)),IF(C1=Prices!A2,(((Feed!I20/Feed!I23)*Prices!D11)+((Feed!I21/Feed!I23)*Prices!D10)+((Feed!I22/Feed!I23)*Prices!D12)),IF(C1=Prices!A3,((Feed!I20/Feed!I23)*Prices!G11)+((Feed!I21/Feed!I23)*Prices!G10)+((Feed!I22/Feed!I23)*Prices!G12),"")))</f>
        <v>87.5</v>
      </c>
      <c r="C15" s="7" t="s">
        <v>39</v>
      </c>
      <c r="D15" s="45" t="s">
        <v>64</v>
      </c>
      <c r="E15" s="62">
        <f>(Feed!I23*Feedlot!B5)/2000</f>
        <v>0.24</v>
      </c>
      <c r="F15" s="7" t="s">
        <v>90</v>
      </c>
      <c r="G15" s="45"/>
      <c r="H15" s="6"/>
      <c r="I15" s="14" t="s">
        <v>11</v>
      </c>
      <c r="J15" s="138">
        <f>B15*E15</f>
        <v>21</v>
      </c>
      <c r="K15" s="24"/>
    </row>
    <row r="16" spans="1:20" x14ac:dyDescent="0.25">
      <c r="A16" s="30" t="s">
        <v>41</v>
      </c>
      <c r="B16" s="138">
        <f>IF(C1=Prices!A1,(((Feed!I26/Feed!I27)*Prices!B7)+((Feed!I25/Feed!I27)*Prices!B8)+((Feed!I24/Feed!I27)*(Prices!B6*2000)/56)),IF(C1=Prices!A2,(((Feed!I26/Feed!I27)*Prices!D7)+((Feed!I25/Feed!I27)*Prices!D8)+((Feed!I24/Feed!I27)*(Prices!D6*2000)/56)),IF(C1=Prices!A3,(((Feed!I26/Feed!I27)*Prices!G7)+((Feed!I25/Feed!I27)*Prices!G8)+((Feed!I24/Feed!I27)*(Prices!G6*2000)/56)),"")))</f>
        <v>137.56493506493507</v>
      </c>
      <c r="C16" s="7" t="s">
        <v>39</v>
      </c>
      <c r="D16" s="45" t="s">
        <v>64</v>
      </c>
      <c r="E16" s="50">
        <f>Feed!I27*B5</f>
        <v>3520</v>
      </c>
      <c r="F16" s="7" t="s">
        <v>91</v>
      </c>
      <c r="G16" s="45"/>
      <c r="H16" s="6"/>
      <c r="I16" s="14" t="s">
        <v>11</v>
      </c>
      <c r="J16" s="138">
        <f>(B16/2000)*E16</f>
        <v>242.11428571428576</v>
      </c>
      <c r="K16" s="24"/>
      <c r="N16" s="54"/>
    </row>
    <row r="17" spans="1:16" x14ac:dyDescent="0.25">
      <c r="A17" t="s">
        <v>40</v>
      </c>
      <c r="B17" s="138">
        <f>IF(C1=Prices!A1,Prices!B16, IF(C1=Prices!A2,Prices!D16, IF(C1=Prices!A3,Prices!G16, "")))</f>
        <v>550</v>
      </c>
      <c r="C17" s="7" t="s">
        <v>39</v>
      </c>
      <c r="D17" s="45" t="s">
        <v>64</v>
      </c>
      <c r="E17" s="50">
        <f>Feed!I28*B5</f>
        <v>80</v>
      </c>
      <c r="F17" s="7" t="s">
        <v>91</v>
      </c>
      <c r="G17" s="45"/>
      <c r="H17" s="6"/>
      <c r="I17" s="14" t="s">
        <v>11</v>
      </c>
      <c r="J17" s="138">
        <f>(B17/2000)*E17</f>
        <v>22</v>
      </c>
      <c r="K17" s="24"/>
      <c r="L17" s="94"/>
      <c r="M17" s="94"/>
      <c r="N17" s="24"/>
      <c r="O17" s="5"/>
      <c r="P17" s="5"/>
    </row>
    <row r="18" spans="1:16" x14ac:dyDescent="0.25">
      <c r="A18" t="s">
        <v>151</v>
      </c>
      <c r="B18" s="129">
        <v>0</v>
      </c>
      <c r="C18" s="7" t="s">
        <v>152</v>
      </c>
      <c r="D18" s="137" t="s">
        <v>64</v>
      </c>
      <c r="E18" s="131">
        <v>0</v>
      </c>
      <c r="F18" s="7" t="s">
        <v>153</v>
      </c>
      <c r="G18" s="137"/>
      <c r="H18" s="6"/>
      <c r="I18" s="14" t="s">
        <v>65</v>
      </c>
      <c r="J18" s="129">
        <f>B18*E18</f>
        <v>0</v>
      </c>
      <c r="K18" s="24"/>
      <c r="L18" s="94"/>
      <c r="M18" s="94"/>
      <c r="N18" s="24"/>
      <c r="O18" s="5"/>
      <c r="P18" s="5"/>
    </row>
    <row r="19" spans="1:16" x14ac:dyDescent="0.25">
      <c r="A19" t="s">
        <v>42</v>
      </c>
      <c r="B19" s="129">
        <v>20</v>
      </c>
      <c r="C19" s="7" t="s">
        <v>79</v>
      </c>
      <c r="D19" s="45" t="s">
        <v>64</v>
      </c>
      <c r="E19" s="131">
        <f>(B5/30)*0.15</f>
        <v>0.79999999999999993</v>
      </c>
      <c r="F19" s="7" t="s">
        <v>80</v>
      </c>
      <c r="G19" s="45"/>
      <c r="H19" s="6"/>
      <c r="I19" s="14" t="s">
        <v>11</v>
      </c>
      <c r="J19" s="129">
        <f>B19*E19</f>
        <v>15.999999999999998</v>
      </c>
      <c r="K19" s="24"/>
      <c r="L19" s="24"/>
      <c r="M19" s="24"/>
      <c r="N19" s="24"/>
    </row>
    <row r="20" spans="1:16" x14ac:dyDescent="0.25">
      <c r="A20" t="s">
        <v>43</v>
      </c>
      <c r="B20" s="2"/>
      <c r="C20" s="7"/>
      <c r="D20" s="45"/>
      <c r="E20" s="4"/>
      <c r="F20" s="7"/>
      <c r="G20" s="45"/>
      <c r="H20" s="6"/>
      <c r="I20" s="14"/>
      <c r="J20" s="141">
        <f>ROUND(3.39*J5,0)</f>
        <v>20</v>
      </c>
      <c r="K20" s="24"/>
      <c r="M20" s="24"/>
      <c r="N20" s="24"/>
    </row>
    <row r="21" spans="1:16" x14ac:dyDescent="0.25">
      <c r="A21" t="s">
        <v>67</v>
      </c>
      <c r="B21" s="2"/>
      <c r="C21" s="7"/>
      <c r="D21" s="45"/>
      <c r="E21" s="4"/>
      <c r="F21" s="7"/>
      <c r="G21" s="45"/>
      <c r="H21" s="6"/>
      <c r="I21" s="14"/>
      <c r="J21" s="141">
        <f>ROUND(1.91*J5,0)</f>
        <v>11</v>
      </c>
      <c r="K21" s="24"/>
      <c r="M21" s="24"/>
      <c r="N21" s="24"/>
    </row>
    <row r="22" spans="1:16" x14ac:dyDescent="0.25">
      <c r="A22" t="s">
        <v>44</v>
      </c>
      <c r="B22" s="2"/>
      <c r="C22" s="7"/>
      <c r="D22" s="45"/>
      <c r="E22" s="4"/>
      <c r="F22" s="7"/>
      <c r="G22" s="45"/>
      <c r="H22" s="6"/>
      <c r="I22" s="14"/>
      <c r="J22" s="141">
        <f>ROUND(2.18*J5,0)</f>
        <v>13</v>
      </c>
      <c r="K22" s="24"/>
      <c r="M22" s="24"/>
      <c r="N22" s="24"/>
    </row>
    <row r="23" spans="1:16" x14ac:dyDescent="0.25">
      <c r="A23" t="s">
        <v>81</v>
      </c>
      <c r="B23" s="2"/>
      <c r="C23" s="7"/>
      <c r="D23" s="45"/>
      <c r="E23" s="4"/>
      <c r="F23" s="7"/>
      <c r="G23" s="45"/>
      <c r="H23" s="6"/>
      <c r="I23" s="14"/>
      <c r="J23" s="141">
        <f>ROUND(2.7*J5,0)</f>
        <v>16</v>
      </c>
      <c r="K23" s="24"/>
      <c r="M23" s="24"/>
      <c r="N23" s="24"/>
    </row>
    <row r="24" spans="1:16" x14ac:dyDescent="0.25">
      <c r="A24" t="s">
        <v>149</v>
      </c>
      <c r="B24" s="2"/>
      <c r="C24" s="7"/>
      <c r="D24" s="136"/>
      <c r="E24" s="4"/>
      <c r="F24" s="7"/>
      <c r="G24" s="136"/>
      <c r="H24" s="6"/>
      <c r="I24" s="14"/>
      <c r="J24" s="141">
        <f>ROUND(2.85*J5,0)</f>
        <v>17</v>
      </c>
      <c r="K24" s="24"/>
      <c r="M24" s="24"/>
      <c r="N24" s="24"/>
    </row>
    <row r="25" spans="1:16" x14ac:dyDescent="0.25">
      <c r="A25" s="15" t="s">
        <v>45</v>
      </c>
      <c r="B25" s="15"/>
      <c r="C25" s="41"/>
      <c r="D25" s="16"/>
      <c r="E25" s="42"/>
      <c r="F25" s="41"/>
      <c r="G25" s="16"/>
      <c r="H25" s="43"/>
      <c r="I25" s="44"/>
      <c r="J25" s="142">
        <f>ROUND(1.42*J5,0)</f>
        <v>8</v>
      </c>
      <c r="K25" s="24"/>
      <c r="M25" s="24"/>
      <c r="N25" s="24"/>
    </row>
    <row r="26" spans="1:16" x14ac:dyDescent="0.25">
      <c r="A26" s="9" t="s">
        <v>19</v>
      </c>
      <c r="D26" s="45"/>
      <c r="G26" s="45"/>
      <c r="I26" s="45"/>
      <c r="J26" s="10">
        <f>SUM(J15:J25)</f>
        <v>386.11428571428576</v>
      </c>
      <c r="K26" s="24"/>
      <c r="L26" s="24"/>
      <c r="M26" s="24"/>
      <c r="N26" s="24"/>
    </row>
    <row r="27" spans="1:16" x14ac:dyDescent="0.25">
      <c r="D27" s="45"/>
      <c r="G27" s="45"/>
      <c r="I27" s="45"/>
      <c r="K27" s="24"/>
      <c r="L27" s="24"/>
      <c r="M27" s="24"/>
      <c r="N27" s="24"/>
    </row>
    <row r="28" spans="1:16" x14ac:dyDescent="0.25">
      <c r="A28" s="17" t="s">
        <v>16</v>
      </c>
      <c r="B28" s="15"/>
      <c r="C28" s="15"/>
      <c r="D28" s="16"/>
      <c r="E28" s="15"/>
      <c r="F28" s="15"/>
      <c r="G28" s="16"/>
      <c r="H28" s="15"/>
      <c r="I28" s="16"/>
      <c r="J28" s="15"/>
      <c r="K28" s="24"/>
      <c r="L28" s="24"/>
      <c r="M28" s="24"/>
      <c r="N28" s="24"/>
    </row>
    <row r="29" spans="1:16" x14ac:dyDescent="0.25">
      <c r="A29" t="s">
        <v>46</v>
      </c>
      <c r="D29" s="45"/>
      <c r="G29" s="45"/>
      <c r="I29" s="45"/>
      <c r="J29" s="129">
        <v>13</v>
      </c>
      <c r="K29" s="24"/>
      <c r="L29" s="24"/>
      <c r="M29" s="24"/>
      <c r="N29" s="24"/>
    </row>
    <row r="30" spans="1:16" x14ac:dyDescent="0.25">
      <c r="A30" t="s">
        <v>85</v>
      </c>
      <c r="D30" s="45"/>
      <c r="G30" s="45"/>
      <c r="I30" s="45"/>
      <c r="J30" s="129">
        <v>1.25</v>
      </c>
      <c r="K30" s="24"/>
      <c r="L30" s="24"/>
      <c r="M30" s="24"/>
      <c r="N30" s="24"/>
    </row>
    <row r="31" spans="1:16" x14ac:dyDescent="0.25">
      <c r="A31" t="s">
        <v>83</v>
      </c>
      <c r="D31" s="45"/>
      <c r="G31" s="45"/>
      <c r="I31" s="45"/>
      <c r="J31" s="129">
        <v>4.5</v>
      </c>
      <c r="K31" s="24"/>
      <c r="L31" s="24"/>
      <c r="M31" s="24"/>
      <c r="N31" s="24"/>
    </row>
    <row r="32" spans="1:16" x14ac:dyDescent="0.25">
      <c r="A32" s="33" t="s">
        <v>82</v>
      </c>
      <c r="B32" s="33"/>
      <c r="C32" s="33"/>
      <c r="D32" s="34"/>
      <c r="E32" s="33"/>
      <c r="F32" s="33"/>
      <c r="G32" s="34"/>
      <c r="H32" s="33"/>
      <c r="I32" s="34"/>
      <c r="J32" s="133">
        <v>51</v>
      </c>
      <c r="K32" s="24"/>
      <c r="L32" s="24"/>
      <c r="M32" s="24"/>
      <c r="N32" s="24"/>
    </row>
    <row r="33" spans="1:14" x14ac:dyDescent="0.25">
      <c r="A33" s="55" t="s">
        <v>97</v>
      </c>
      <c r="B33" s="33"/>
      <c r="C33" s="33"/>
      <c r="D33" s="34"/>
      <c r="E33" s="33"/>
      <c r="F33" s="33"/>
      <c r="G33" s="34"/>
      <c r="H33" s="33"/>
      <c r="I33" s="34"/>
      <c r="J33" s="133">
        <v>0</v>
      </c>
      <c r="K33" s="24"/>
      <c r="L33" s="24"/>
      <c r="M33" s="24"/>
      <c r="N33" s="24"/>
    </row>
    <row r="34" spans="1:14" x14ac:dyDescent="0.25">
      <c r="A34" s="58" t="s">
        <v>17</v>
      </c>
      <c r="B34" s="59"/>
      <c r="C34" s="59"/>
      <c r="D34" s="57"/>
      <c r="E34" s="59"/>
      <c r="F34" s="59"/>
      <c r="G34" s="57"/>
      <c r="H34" s="59"/>
      <c r="I34" s="57"/>
      <c r="J34" s="60">
        <f>SUM(J29:J32)</f>
        <v>69.75</v>
      </c>
      <c r="K34" s="24"/>
      <c r="L34" s="24"/>
      <c r="M34" s="24"/>
      <c r="N34" s="24"/>
    </row>
    <row r="35" spans="1:14" x14ac:dyDescent="0.25">
      <c r="B35" s="2"/>
      <c r="C35" s="7"/>
      <c r="D35" s="73"/>
      <c r="E35" s="4"/>
      <c r="F35" s="7"/>
      <c r="G35" s="73"/>
      <c r="H35" s="6"/>
      <c r="I35" s="14"/>
      <c r="J35" s="2"/>
      <c r="K35" s="24"/>
      <c r="L35" s="24"/>
      <c r="M35" s="24"/>
      <c r="N35" s="24"/>
    </row>
    <row r="36" spans="1:14" x14ac:dyDescent="0.25">
      <c r="A36" s="17" t="s">
        <v>18</v>
      </c>
      <c r="B36" s="15"/>
      <c r="C36" s="15"/>
      <c r="D36" s="16"/>
      <c r="E36" s="15"/>
      <c r="F36" s="15"/>
      <c r="G36" s="16"/>
      <c r="H36" s="15"/>
      <c r="I36" s="16"/>
      <c r="J36" s="18">
        <f>J26+J34</f>
        <v>455.86428571428576</v>
      </c>
      <c r="K36" s="94"/>
      <c r="L36" s="24"/>
      <c r="M36" s="24"/>
      <c r="N36" s="24"/>
    </row>
    <row r="37" spans="1:14" x14ac:dyDescent="0.25">
      <c r="D37" s="45"/>
      <c r="G37" s="45"/>
      <c r="I37" s="45"/>
      <c r="K37" s="24"/>
      <c r="L37" s="24"/>
      <c r="M37" s="24"/>
      <c r="N37" s="24"/>
    </row>
    <row r="38" spans="1:14" ht="15" customHeight="1" x14ac:dyDescent="0.25">
      <c r="A38" t="s">
        <v>47</v>
      </c>
      <c r="D38" s="45"/>
      <c r="G38" s="45"/>
      <c r="I38" s="45"/>
      <c r="J38" s="5">
        <f>J12-J26</f>
        <v>-80.871173214285704</v>
      </c>
      <c r="K38" s="24"/>
      <c r="L38" s="24"/>
      <c r="M38" s="24"/>
      <c r="N38" s="24"/>
    </row>
    <row r="39" spans="1:14" ht="15.75" thickBot="1" x14ac:dyDescent="0.3">
      <c r="A39" s="3" t="s">
        <v>20</v>
      </c>
      <c r="D39" s="45"/>
      <c r="G39" s="45"/>
      <c r="I39" s="45"/>
      <c r="J39" s="26">
        <f>J12-J36</f>
        <v>-150.6211732142857</v>
      </c>
      <c r="L39" s="24"/>
      <c r="M39" s="24"/>
      <c r="N39" s="24"/>
    </row>
    <row r="40" spans="1:14" ht="15.75" thickTop="1" x14ac:dyDescent="0.25"/>
    <row r="42" spans="1:14" ht="104.25" customHeight="1" x14ac:dyDescent="0.25">
      <c r="A42" s="32"/>
      <c r="B42" s="33"/>
      <c r="C42" s="33"/>
      <c r="D42" s="71"/>
      <c r="E42" s="33"/>
      <c r="F42" s="33"/>
      <c r="G42" s="71"/>
      <c r="H42" s="33"/>
      <c r="I42" s="71"/>
      <c r="J42" s="19"/>
    </row>
    <row r="43" spans="1:14" ht="15" customHeight="1" x14ac:dyDescent="0.25">
      <c r="A43" s="148" t="s">
        <v>60</v>
      </c>
      <c r="B43" s="149"/>
      <c r="C43" s="149"/>
      <c r="D43" s="149"/>
      <c r="E43" s="149"/>
      <c r="F43" s="149"/>
      <c r="G43" s="149"/>
      <c r="H43" s="149"/>
      <c r="I43" s="149"/>
      <c r="J43" s="149"/>
    </row>
    <row r="44" spans="1:14" ht="15.75" x14ac:dyDescent="0.25">
      <c r="A44" s="36" t="s">
        <v>126</v>
      </c>
      <c r="B44" s="36"/>
      <c r="C44" s="36"/>
      <c r="D44" s="36"/>
      <c r="E44" s="36"/>
      <c r="F44" s="36"/>
      <c r="G44" s="36"/>
      <c r="H44" s="36"/>
      <c r="I44" s="36"/>
      <c r="J44" s="36" t="str">
        <f>TEXT(Notes!D2,"MMM. DD, YYYY")</f>
        <v>Dec. 01, 2015</v>
      </c>
    </row>
    <row r="45" spans="1:14" x14ac:dyDescent="0.25">
      <c r="B45" s="40"/>
    </row>
    <row r="46" spans="1:14" ht="19.5" thickBot="1" x14ac:dyDescent="0.35">
      <c r="A46" s="154" t="s">
        <v>125</v>
      </c>
      <c r="B46" s="155"/>
      <c r="C46" s="156"/>
      <c r="D46" s="156"/>
      <c r="E46" s="156"/>
      <c r="F46" s="156"/>
      <c r="G46" s="157"/>
      <c r="H46" s="157"/>
      <c r="I46" s="157"/>
      <c r="J46" s="157"/>
    </row>
    <row r="89" spans="1:10" ht="31.5" customHeight="1" x14ac:dyDescent="0.25"/>
    <row r="90" spans="1:10" x14ac:dyDescent="0.25">
      <c r="A90" s="148" t="s">
        <v>60</v>
      </c>
      <c r="B90" s="149"/>
      <c r="C90" s="149"/>
      <c r="D90" s="149"/>
      <c r="E90" s="149"/>
      <c r="F90" s="149"/>
      <c r="G90" s="149"/>
      <c r="H90" s="149"/>
      <c r="I90" s="149"/>
      <c r="J90" s="149"/>
    </row>
    <row r="91" spans="1:10" ht="15.75" x14ac:dyDescent="0.25">
      <c r="A91" s="36" t="s">
        <v>126</v>
      </c>
      <c r="B91" s="36"/>
      <c r="C91" s="36"/>
      <c r="D91" s="36"/>
      <c r="E91" s="36"/>
      <c r="F91" s="36"/>
      <c r="G91" s="36"/>
      <c r="H91" s="36"/>
      <c r="I91" s="36"/>
      <c r="J91" s="36" t="str">
        <f>J44</f>
        <v>Dec. 01, 2015</v>
      </c>
    </row>
    <row r="92" spans="1:10" ht="15.75" x14ac:dyDescent="0.25">
      <c r="A92" s="68"/>
      <c r="B92" s="68"/>
      <c r="C92" s="68"/>
      <c r="D92" s="68"/>
      <c r="E92" s="68"/>
      <c r="F92" s="68"/>
      <c r="G92" s="68"/>
      <c r="H92" s="68"/>
      <c r="I92" s="68"/>
      <c r="J92" s="68"/>
    </row>
    <row r="93" spans="1:10" ht="19.5" thickBot="1" x14ac:dyDescent="0.35">
      <c r="A93" s="154" t="s">
        <v>125</v>
      </c>
      <c r="B93" s="155"/>
      <c r="C93" s="156"/>
      <c r="D93" s="156"/>
      <c r="E93" s="156"/>
      <c r="F93" s="156"/>
      <c r="G93" s="157"/>
      <c r="H93" s="157"/>
      <c r="I93" s="157"/>
      <c r="J93" s="157"/>
    </row>
    <row r="94" spans="1:10" ht="15.75" x14ac:dyDescent="0.25">
      <c r="A94" s="69" t="s">
        <v>112</v>
      </c>
    </row>
    <row r="96" spans="1:10" ht="15.75" thickBot="1" x14ac:dyDescent="0.3">
      <c r="A96" s="52" t="s">
        <v>131</v>
      </c>
      <c r="B96" s="51" t="s">
        <v>88</v>
      </c>
      <c r="C96" s="51"/>
      <c r="D96" s="51"/>
      <c r="E96" s="51"/>
    </row>
    <row r="97" spans="1:4" x14ac:dyDescent="0.25">
      <c r="A97" s="32"/>
      <c r="B97" s="17" t="s">
        <v>27</v>
      </c>
      <c r="C97" s="17" t="s">
        <v>8</v>
      </c>
    </row>
    <row r="98" spans="1:4" x14ac:dyDescent="0.25">
      <c r="A98" s="48" t="s">
        <v>140</v>
      </c>
      <c r="B98" s="62">
        <f>Feed!I20</f>
        <v>1.5</v>
      </c>
      <c r="C98" s="7" t="s">
        <v>72</v>
      </c>
      <c r="D98" s="7"/>
    </row>
    <row r="99" spans="1:4" x14ac:dyDescent="0.25">
      <c r="A99" s="48" t="s">
        <v>102</v>
      </c>
      <c r="B99" s="62">
        <f>Feed!I21</f>
        <v>0</v>
      </c>
      <c r="C99" s="7" t="s">
        <v>72</v>
      </c>
      <c r="D99" s="7"/>
    </row>
    <row r="100" spans="1:4" x14ac:dyDescent="0.25">
      <c r="A100" s="48" t="s">
        <v>70</v>
      </c>
      <c r="B100" s="62">
        <f>Feed!I22</f>
        <v>1.5</v>
      </c>
      <c r="C100" s="7" t="s">
        <v>72</v>
      </c>
      <c r="D100" s="7"/>
    </row>
    <row r="101" spans="1:4" x14ac:dyDescent="0.25">
      <c r="A101" t="s">
        <v>101</v>
      </c>
      <c r="B101" s="62">
        <f>Feed!I23</f>
        <v>3</v>
      </c>
      <c r="C101" s="7" t="s">
        <v>72</v>
      </c>
      <c r="D101" s="7"/>
    </row>
    <row r="102" spans="1:4" x14ac:dyDescent="0.25">
      <c r="A102" s="48" t="s">
        <v>73</v>
      </c>
      <c r="B102" s="62">
        <f>Feed!I24</f>
        <v>17</v>
      </c>
      <c r="C102" s="7" t="s">
        <v>72</v>
      </c>
      <c r="D102" s="7"/>
    </row>
    <row r="103" spans="1:4" x14ac:dyDescent="0.25">
      <c r="A103" s="48" t="s">
        <v>74</v>
      </c>
      <c r="B103" s="62">
        <f>Feed!I25</f>
        <v>5</v>
      </c>
      <c r="C103" s="7" t="s">
        <v>72</v>
      </c>
      <c r="D103" s="7"/>
    </row>
    <row r="104" spans="1:4" x14ac:dyDescent="0.25">
      <c r="A104" s="48" t="s">
        <v>75</v>
      </c>
      <c r="B104" s="62">
        <f>Feed!I26</f>
        <v>0</v>
      </c>
      <c r="C104" s="7" t="s">
        <v>72</v>
      </c>
      <c r="D104" s="7"/>
    </row>
    <row r="105" spans="1:4" x14ac:dyDescent="0.25">
      <c r="A105" t="s">
        <v>100</v>
      </c>
      <c r="B105" s="62">
        <f>Feed!I27</f>
        <v>22</v>
      </c>
      <c r="C105" s="7" t="s">
        <v>72</v>
      </c>
      <c r="D105" s="49"/>
    </row>
    <row r="106" spans="1:4" x14ac:dyDescent="0.25">
      <c r="A106" t="s">
        <v>58</v>
      </c>
      <c r="B106" s="74">
        <f>Feed!I28</f>
        <v>0.5</v>
      </c>
      <c r="C106" s="7" t="s">
        <v>72</v>
      </c>
    </row>
    <row r="113" spans="1:6" ht="15.75" thickBot="1" x14ac:dyDescent="0.3">
      <c r="A113" s="52" t="s">
        <v>148</v>
      </c>
      <c r="B113" s="51"/>
      <c r="C113" s="51"/>
      <c r="D113" s="51"/>
      <c r="E113" s="51"/>
      <c r="F113" s="51"/>
    </row>
    <row r="114" spans="1:6" ht="15" customHeight="1" x14ac:dyDescent="0.25">
      <c r="A114" s="64"/>
      <c r="B114" s="72" t="s">
        <v>113</v>
      </c>
      <c r="C114" s="160" t="s">
        <v>114</v>
      </c>
      <c r="D114" s="160"/>
      <c r="E114" s="161" t="s">
        <v>115</v>
      </c>
      <c r="F114" s="161"/>
    </row>
    <row r="115" spans="1:6" x14ac:dyDescent="0.25">
      <c r="A115" t="s">
        <v>128</v>
      </c>
      <c r="B115" s="65">
        <f>Prices!B20</f>
        <v>180.75</v>
      </c>
      <c r="C115" s="165">
        <f>Prices!D20</f>
        <v>175.27500000000001</v>
      </c>
      <c r="D115" s="165"/>
      <c r="E115" s="165">
        <f>Prices!G20</f>
        <v>193.23</v>
      </c>
      <c r="F115" s="165"/>
    </row>
    <row r="116" spans="1:6" x14ac:dyDescent="0.25">
      <c r="A116" t="s">
        <v>129</v>
      </c>
      <c r="B116" s="65">
        <f>Prices!B21</f>
        <v>126.34</v>
      </c>
      <c r="C116" s="158">
        <f>Prices!D21</f>
        <v>120.36499999999999</v>
      </c>
      <c r="D116" s="158"/>
      <c r="E116" s="158">
        <f>Prices!G21</f>
        <v>158.41999999999999</v>
      </c>
      <c r="F116" s="158"/>
    </row>
    <row r="117" spans="1:6" x14ac:dyDescent="0.25">
      <c r="A117" t="s">
        <v>13</v>
      </c>
      <c r="B117" s="65">
        <f>Prices!B6</f>
        <v>3.77</v>
      </c>
      <c r="C117" s="158">
        <f>Prices!D6</f>
        <v>4.0660000000000007</v>
      </c>
      <c r="D117" s="158"/>
      <c r="E117" s="158">
        <f>Prices!G6</f>
        <v>3.55</v>
      </c>
      <c r="F117" s="158"/>
    </row>
    <row r="118" spans="1:6" x14ac:dyDescent="0.25">
      <c r="A118" t="s">
        <v>14</v>
      </c>
      <c r="B118" s="65">
        <f>Prices!B7</f>
        <v>281.60000000000002</v>
      </c>
      <c r="C118" s="158">
        <f>Prices!D7</f>
        <v>291.7</v>
      </c>
      <c r="D118" s="158"/>
      <c r="E118" s="158">
        <f>Prices!G7</f>
        <v>326</v>
      </c>
      <c r="F118" s="158"/>
    </row>
    <row r="119" spans="1:6" x14ac:dyDescent="0.25">
      <c r="A119" t="s">
        <v>116</v>
      </c>
      <c r="B119" s="65">
        <f>Prices!B8</f>
        <v>147.5</v>
      </c>
      <c r="C119" s="158">
        <f>Prices!D8</f>
        <v>159.08090185676394</v>
      </c>
      <c r="D119" s="158"/>
      <c r="E119" s="158">
        <f>Prices!G8</f>
        <v>138.89257294429709</v>
      </c>
      <c r="F119" s="158"/>
    </row>
    <row r="120" spans="1:6" x14ac:dyDescent="0.25">
      <c r="A120" t="s">
        <v>109</v>
      </c>
      <c r="B120" s="65">
        <f>Prices!B10</f>
        <v>30.16</v>
      </c>
      <c r="C120" s="158">
        <f>Prices!D10</f>
        <v>32.528000000000006</v>
      </c>
      <c r="D120" s="158"/>
      <c r="E120" s="158">
        <f>Prices!G10</f>
        <v>28.4</v>
      </c>
      <c r="F120" s="158"/>
    </row>
    <row r="121" spans="1:6" x14ac:dyDescent="0.25">
      <c r="A121" t="s">
        <v>92</v>
      </c>
      <c r="B121" s="65">
        <f>Prices!B11</f>
        <v>60</v>
      </c>
      <c r="C121" s="158">
        <f>Prices!D11</f>
        <v>64.710875331564992</v>
      </c>
      <c r="D121" s="158"/>
      <c r="E121" s="158">
        <f>Prices!G11</f>
        <v>56.49867374005305</v>
      </c>
      <c r="F121" s="158"/>
    </row>
    <row r="122" spans="1:6" x14ac:dyDescent="0.25">
      <c r="A122" t="s">
        <v>93</v>
      </c>
      <c r="B122" s="65">
        <f>Prices!B12</f>
        <v>115</v>
      </c>
      <c r="C122" s="158">
        <f>Prices!D12</f>
        <v>124.0291777188329</v>
      </c>
      <c r="D122" s="158"/>
      <c r="E122" s="158">
        <f>Prices!G12</f>
        <v>108.28912466843501</v>
      </c>
      <c r="F122" s="158"/>
    </row>
    <row r="123" spans="1:6" x14ac:dyDescent="0.25">
      <c r="A123" t="s">
        <v>94</v>
      </c>
      <c r="B123" s="65">
        <f>Prices!B13</f>
        <v>18.059999999999999</v>
      </c>
      <c r="C123" s="158">
        <f>Prices!D13</f>
        <v>18.421199999999999</v>
      </c>
      <c r="D123" s="158"/>
      <c r="E123" s="158">
        <f>Prices!G13</f>
        <v>19.866</v>
      </c>
      <c r="F123" s="158"/>
    </row>
    <row r="124" spans="1:6" x14ac:dyDescent="0.25">
      <c r="A124" t="s">
        <v>95</v>
      </c>
      <c r="B124" s="65">
        <f>Prices!B14</f>
        <v>15</v>
      </c>
      <c r="C124" s="158">
        <f>Prices!D14</f>
        <v>15.3</v>
      </c>
      <c r="D124" s="158"/>
      <c r="E124" s="158">
        <f>Prices!G14</f>
        <v>16.5</v>
      </c>
      <c r="F124" s="158"/>
    </row>
    <row r="125" spans="1:6" x14ac:dyDescent="0.25">
      <c r="A125" t="s">
        <v>96</v>
      </c>
      <c r="B125" s="65">
        <f>Prices!B16</f>
        <v>550</v>
      </c>
      <c r="C125" s="158">
        <f>Prices!D16</f>
        <v>561</v>
      </c>
      <c r="D125" s="158"/>
      <c r="E125" s="158">
        <f>Prices!G16</f>
        <v>605</v>
      </c>
      <c r="F125" s="158"/>
    </row>
    <row r="126" spans="1:6" x14ac:dyDescent="0.25">
      <c r="B126" s="65"/>
      <c r="C126" s="70"/>
      <c r="D126" s="71"/>
      <c r="E126" s="70"/>
      <c r="F126" s="71"/>
    </row>
    <row r="127" spans="1:6" ht="72.75" customHeight="1" x14ac:dyDescent="0.25">
      <c r="B127" s="65"/>
      <c r="C127" s="70"/>
      <c r="D127" s="71"/>
      <c r="E127" s="70"/>
      <c r="F127" s="71"/>
    </row>
    <row r="128" spans="1:6" x14ac:dyDescent="0.25">
      <c r="B128" s="65"/>
      <c r="C128" s="70"/>
      <c r="D128" s="71"/>
      <c r="E128" s="70"/>
      <c r="F128" s="71"/>
    </row>
    <row r="129" spans="1:10" x14ac:dyDescent="0.25">
      <c r="B129" s="65"/>
      <c r="C129" s="70"/>
      <c r="D129" s="71"/>
      <c r="E129" s="70"/>
      <c r="F129" s="71"/>
    </row>
    <row r="130" spans="1:10" x14ac:dyDescent="0.25">
      <c r="B130" s="65"/>
      <c r="C130" s="70"/>
      <c r="D130" s="71"/>
      <c r="E130" s="70"/>
      <c r="F130" s="71"/>
    </row>
    <row r="131" spans="1:10" x14ac:dyDescent="0.25">
      <c r="B131" s="65"/>
      <c r="C131" s="70"/>
      <c r="D131" s="71"/>
      <c r="E131" s="70"/>
      <c r="F131" s="71"/>
    </row>
    <row r="132" spans="1:10" x14ac:dyDescent="0.25">
      <c r="B132" s="65"/>
      <c r="C132" s="70"/>
      <c r="D132" s="71"/>
      <c r="E132" s="70"/>
      <c r="F132" s="71"/>
    </row>
    <row r="133" spans="1:10" x14ac:dyDescent="0.25">
      <c r="A133" s="148" t="s">
        <v>60</v>
      </c>
      <c r="B133" s="149"/>
      <c r="C133" s="149"/>
      <c r="D133" s="149"/>
      <c r="E133" s="149"/>
      <c r="F133" s="149"/>
      <c r="G133" s="149"/>
      <c r="H133" s="149"/>
      <c r="I133" s="149"/>
      <c r="J133" s="149"/>
    </row>
    <row r="134" spans="1:10" ht="15.75" x14ac:dyDescent="0.25">
      <c r="A134" s="36" t="s">
        <v>126</v>
      </c>
      <c r="B134" s="36"/>
      <c r="C134" s="36"/>
      <c r="D134" s="36"/>
      <c r="E134" s="36"/>
      <c r="F134" s="36"/>
      <c r="G134" s="36"/>
      <c r="H134" s="36"/>
      <c r="I134" s="36"/>
      <c r="J134" s="36" t="str">
        <f>J91</f>
        <v>Dec. 01, 2015</v>
      </c>
    </row>
  </sheetData>
  <sheetProtection sheet="1" objects="1" scenarios="1"/>
  <mergeCells count="38">
    <mergeCell ref="A1:B1"/>
    <mergeCell ref="C1:F1"/>
    <mergeCell ref="G1:J1"/>
    <mergeCell ref="C5:E5"/>
    <mergeCell ref="A43:J43"/>
    <mergeCell ref="A46:B46"/>
    <mergeCell ref="C46:F46"/>
    <mergeCell ref="G46:J46"/>
    <mergeCell ref="A90:J90"/>
    <mergeCell ref="A93:B93"/>
    <mergeCell ref="C93:F93"/>
    <mergeCell ref="G93:J93"/>
    <mergeCell ref="C117:D117"/>
    <mergeCell ref="E117:F117"/>
    <mergeCell ref="C118:D118"/>
    <mergeCell ref="E118:F118"/>
    <mergeCell ref="C114:D114"/>
    <mergeCell ref="E114:F114"/>
    <mergeCell ref="C115:D115"/>
    <mergeCell ref="E115:F115"/>
    <mergeCell ref="C116:D116"/>
    <mergeCell ref="E116:F116"/>
    <mergeCell ref="C125:D125"/>
    <mergeCell ref="E125:F125"/>
    <mergeCell ref="A133:J133"/>
    <mergeCell ref="I4:J4"/>
    <mergeCell ref="C122:D122"/>
    <mergeCell ref="E122:F122"/>
    <mergeCell ref="C123:D123"/>
    <mergeCell ref="E123:F123"/>
    <mergeCell ref="C124:D124"/>
    <mergeCell ref="E124:F124"/>
    <mergeCell ref="C119:D119"/>
    <mergeCell ref="E119:F119"/>
    <mergeCell ref="C120:D120"/>
    <mergeCell ref="E120:F120"/>
    <mergeCell ref="C121:D121"/>
    <mergeCell ref="E121:F121"/>
  </mergeCells>
  <dataValidations count="1">
    <dataValidation type="list" showInputMessage="1" showErrorMessage="1" prompt="Select a price horizon to budget from" sqref="C1">
      <formula1>price_selections</formula1>
    </dataValidation>
  </dataValidations>
  <pageMargins left="0.5" right="0.5" top="0.75" bottom="0.5" header="0.3" footer="0"/>
  <pageSetup scale="92" orientation="portrait" horizontalDpi="4294967295" verticalDpi="4294967295" r:id="rId1"/>
  <headerFooter>
    <oddHeader>&amp;L&amp;"-,Bold"&amp;20FARM MANAGEMENT GUIDE</oddHeader>
  </headerFooter>
  <rowBreaks count="1" manualBreakCount="1">
    <brk id="9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405" r:id="rId4" name="Button 21">
              <controlPr defaultSize="0" print="0" autoFill="0" autoPict="0" macro="[0]!PrintFinishingBudget">
                <anchor moveWithCells="1">
                  <from>
                    <xdr:col>10</xdr:col>
                    <xdr:colOff>609600</xdr:colOff>
                    <xdr:row>4</xdr:row>
                    <xdr:rowOff>38100</xdr:rowOff>
                  </from>
                  <to>
                    <xdr:col>14</xdr:col>
                    <xdr:colOff>447675</xdr:colOff>
                    <xdr:row>6</xdr:row>
                    <xdr:rowOff>9525</xdr:rowOff>
                  </to>
                </anchor>
              </controlPr>
            </control>
          </mc:Choice>
        </mc:AlternateContent>
        <mc:AlternateContent xmlns:mc="http://schemas.openxmlformats.org/markup-compatibility/2006">
          <mc:Choice Requires="x14">
            <control shapeId="16406" r:id="rId5" name="Button 22">
              <controlPr defaultSize="0" print="0" autoFill="0" autoPict="0" macro="[0]!PrintFinishingPage">
                <anchor moveWithCells="1" sizeWithCells="1">
                  <from>
                    <xdr:col>11</xdr:col>
                    <xdr:colOff>9525</xdr:colOff>
                    <xdr:row>6</xdr:row>
                    <xdr:rowOff>180975</xdr:rowOff>
                  </from>
                  <to>
                    <xdr:col>14</xdr:col>
                    <xdr:colOff>466725</xdr:colOff>
                    <xdr:row>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Notes</vt:lpstr>
      <vt:lpstr>Prices</vt:lpstr>
      <vt:lpstr>Feed</vt:lpstr>
      <vt:lpstr>Cow-Calf</vt:lpstr>
      <vt:lpstr>Backgrounding</vt:lpstr>
      <vt:lpstr>Stocker</vt:lpstr>
      <vt:lpstr>Feedlot</vt:lpstr>
      <vt:lpstr>price_selections</vt:lpstr>
      <vt:lpstr>Backgrounding!Print_Area</vt:lpstr>
      <vt:lpstr>'Cow-Calf'!Print_Area</vt:lpstr>
      <vt:lpstr>Feed!Print_Area</vt:lpstr>
      <vt:lpstr>Feedlot!Print_Area</vt:lpstr>
      <vt:lpstr>Notes!Print_Area</vt:lpstr>
      <vt:lpstr>Prices!Print_Area</vt:lpstr>
      <vt:lpstr>Stocker!Print_Area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Tonsor</dc:creator>
  <cp:lastModifiedBy>robinreid</cp:lastModifiedBy>
  <cp:lastPrinted>2016-02-04T16:30:38Z</cp:lastPrinted>
  <dcterms:created xsi:type="dcterms:W3CDTF">2015-02-05T18:15:32Z</dcterms:created>
  <dcterms:modified xsi:type="dcterms:W3CDTF">2016-02-11T17:15:26Z</dcterms:modified>
</cp:coreProperties>
</file>