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C:\Users\robinreid\Dropbox\Livestock Farm Management Guides\July 2017 Updates\"/>
    </mc:Choice>
  </mc:AlternateContent>
  <bookViews>
    <workbookView xWindow="0" yWindow="0" windowWidth="20490" windowHeight="6555"/>
  </bookViews>
  <sheets>
    <sheet name="Introduction" sheetId="14" r:id="rId1"/>
    <sheet name="Prices" sheetId="2" r:id="rId2"/>
    <sheet name="Cow Milking-Purchased Replmts" sheetId="3" r:id="rId3"/>
    <sheet name="Cow Milking-Raised Replmts" sheetId="12" r:id="rId4"/>
    <sheet name="Replacement Heifers" sheetId="13" r:id="rId5"/>
    <sheet name="Heifer Costs WI Report" sheetId="9" state="hidden" r:id="rId6"/>
    <sheet name="Costs" sheetId="10" state="hidden" r:id="rId7"/>
    <sheet name="Manure Credit" sheetId="4" state="hidden" r:id="rId8"/>
  </sheets>
  <externalReferences>
    <externalReference r:id="rId9"/>
    <externalReference r:id="rId10"/>
  </externalReferences>
  <definedNames>
    <definedName name="data">[1]kcd!$B$10:$AZ$1374</definedName>
    <definedName name="price_selections">[2]Prices!$A$1:$A$3</definedName>
    <definedName name="Prices">Prices!$A$1:$A$3</definedName>
    <definedName name="_xlnm.Print_Area" localSheetId="2">'Cow Milking-Purchased Replmts'!$A$1:$K$129</definedName>
    <definedName name="_xlnm.Print_Area" localSheetId="3">'Cow Milking-Raised Replmts'!$A$1:$K$140</definedName>
    <definedName name="_xlnm.Print_Area" localSheetId="0">Introduction!$A$1:$M$52</definedName>
    <definedName name="_xlnm.Print_Area" localSheetId="4">'Replacement Heifers'!$A$1:$J$131</definedName>
    <definedName name="Z_7F8F69BA_F1D1_4483_B535_1A9BCCCC12B7_.wvu.PrintArea" localSheetId="0" hidden="1">Introduction!$B$2:$L$43</definedName>
    <definedName name="Z_7F8F69BA_F1D1_4483_B535_1A9BCCCC12B7_.wvu.Rows" localSheetId="0" hidden="1">Introduction!#REF!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 i="3" l="1"/>
  <c r="I44" i="13" l="1"/>
  <c r="J49" i="12"/>
  <c r="J47" i="3"/>
  <c r="G9" i="2" l="1"/>
  <c r="G11" i="2" s="1"/>
  <c r="D9" i="2"/>
  <c r="D11" i="2" s="1"/>
  <c r="B9" i="2"/>
  <c r="B10" i="2" s="1"/>
  <c r="B11" i="2" l="1"/>
  <c r="B21" i="12"/>
  <c r="B17" i="3"/>
  <c r="G10" i="2"/>
  <c r="D10" i="2"/>
  <c r="C11" i="2" l="1"/>
  <c r="E11" i="2"/>
  <c r="F11" i="2"/>
  <c r="H14" i="12" l="1"/>
  <c r="H13" i="12"/>
  <c r="K36" i="3"/>
  <c r="A103" i="13" l="1"/>
  <c r="J36" i="13"/>
  <c r="J19" i="13"/>
  <c r="A116" i="12"/>
  <c r="B116" i="12"/>
  <c r="E116" i="12"/>
  <c r="A117" i="12"/>
  <c r="B117" i="12"/>
  <c r="E117" i="12"/>
  <c r="A118" i="12"/>
  <c r="B118" i="12"/>
  <c r="A121" i="12"/>
  <c r="H8" i="13"/>
  <c r="J41" i="12" l="1"/>
  <c r="K31" i="12"/>
  <c r="J24" i="12" l="1"/>
  <c r="K24" i="12" s="1"/>
  <c r="B6" i="12"/>
  <c r="H20" i="12" s="1"/>
  <c r="J12" i="3"/>
  <c r="C5" i="4"/>
  <c r="J21" i="3"/>
  <c r="K21" i="3" s="1"/>
  <c r="J15" i="12" l="1"/>
  <c r="J38" i="3" l="1"/>
  <c r="K28" i="3"/>
  <c r="B103" i="13" l="1"/>
  <c r="J21" i="12" l="1"/>
  <c r="K21" i="12" s="1"/>
  <c r="J17" i="3"/>
  <c r="J17" i="13" l="1"/>
  <c r="B20" i="12"/>
  <c r="J20" i="12" s="1"/>
  <c r="B121" i="12"/>
  <c r="K26" i="12"/>
  <c r="A111" i="13" l="1"/>
  <c r="A110" i="13"/>
  <c r="B109" i="13"/>
  <c r="A109" i="13"/>
  <c r="B108" i="13"/>
  <c r="A108" i="13"/>
  <c r="B107" i="13"/>
  <c r="A107" i="13"/>
  <c r="B106" i="13"/>
  <c r="A106" i="13"/>
  <c r="E105" i="13"/>
  <c r="B105" i="13"/>
  <c r="A105" i="13"/>
  <c r="A102" i="13"/>
  <c r="B101" i="13"/>
  <c r="A101" i="13"/>
  <c r="B100" i="13"/>
  <c r="A100" i="13"/>
  <c r="E99" i="13"/>
  <c r="B99" i="13"/>
  <c r="A99" i="13"/>
  <c r="E98" i="13"/>
  <c r="B98" i="13"/>
  <c r="A98" i="13"/>
  <c r="I91" i="13"/>
  <c r="I131" i="13" s="1"/>
  <c r="J18" i="13"/>
  <c r="J29" i="13" s="1"/>
  <c r="J38" i="13" s="1"/>
  <c r="B13" i="13"/>
  <c r="J13" i="13" s="1"/>
  <c r="H10" i="13"/>
  <c r="H9" i="13"/>
  <c r="B8" i="13"/>
  <c r="J8" i="13" s="1"/>
  <c r="H1" i="13"/>
  <c r="B11" i="12"/>
  <c r="K20" i="12" l="1"/>
  <c r="A129" i="12" l="1"/>
  <c r="A128" i="12"/>
  <c r="B127" i="12"/>
  <c r="A127" i="12"/>
  <c r="B126" i="12"/>
  <c r="A126" i="12"/>
  <c r="B125" i="12"/>
  <c r="A125" i="12"/>
  <c r="B124" i="12"/>
  <c r="A124" i="12"/>
  <c r="E123" i="12"/>
  <c r="B123" i="12"/>
  <c r="A123" i="12"/>
  <c r="A120" i="12"/>
  <c r="B119" i="12"/>
  <c r="A119" i="12"/>
  <c r="J96" i="12"/>
  <c r="J140" i="12" s="1"/>
  <c r="K40" i="12"/>
  <c r="K39" i="12"/>
  <c r="K32" i="12"/>
  <c r="K38" i="12"/>
  <c r="K37" i="12"/>
  <c r="K33" i="12"/>
  <c r="K30" i="12"/>
  <c r="K29" i="12"/>
  <c r="K28" i="12"/>
  <c r="K27" i="12"/>
  <c r="K25" i="12"/>
  <c r="J23" i="12"/>
  <c r="K22" i="12"/>
  <c r="K16" i="12"/>
  <c r="H12" i="12"/>
  <c r="B12" i="12"/>
  <c r="E11" i="12"/>
  <c r="K10" i="12"/>
  <c r="E10" i="12"/>
  <c r="J10" i="12" s="1"/>
  <c r="E9" i="12"/>
  <c r="B9" i="12"/>
  <c r="K9" i="12" s="1"/>
  <c r="I1" i="12"/>
  <c r="K37" i="3"/>
  <c r="K29" i="3"/>
  <c r="K30" i="3"/>
  <c r="K25" i="3"/>
  <c r="K23" i="12" l="1"/>
  <c r="K34" i="12" s="1"/>
  <c r="J34" i="12"/>
  <c r="J43" i="12" s="1"/>
  <c r="J9" i="12"/>
  <c r="J12" i="12"/>
  <c r="K41" i="12"/>
  <c r="J11" i="12"/>
  <c r="K11" i="12" s="1"/>
  <c r="K43" i="12" l="1"/>
  <c r="K12" i="12"/>
  <c r="E4" i="10" l="1"/>
  <c r="C4" i="10"/>
  <c r="F4" i="10"/>
  <c r="G4" i="10"/>
  <c r="B3" i="10"/>
  <c r="E20" i="10"/>
  <c r="C20" i="10"/>
  <c r="F20" i="10" s="1"/>
  <c r="G20" i="10" s="1"/>
  <c r="E19" i="10"/>
  <c r="C19" i="10" s="1"/>
  <c r="F19" i="10" s="1"/>
  <c r="G19" i="10" s="1"/>
  <c r="K35" i="3"/>
  <c r="B18" i="10"/>
  <c r="C18" i="10" s="1"/>
  <c r="F18" i="10" s="1"/>
  <c r="G18" i="10" s="1"/>
  <c r="E18" i="10"/>
  <c r="E17" i="10"/>
  <c r="C17" i="10"/>
  <c r="K34" i="3"/>
  <c r="B14" i="10"/>
  <c r="E14" i="10"/>
  <c r="C14" i="10"/>
  <c r="F14" i="10" s="1"/>
  <c r="G14" i="10" s="1"/>
  <c r="B13" i="10"/>
  <c r="C13" i="10" s="1"/>
  <c r="F13" i="10" s="1"/>
  <c r="G13" i="10" s="1"/>
  <c r="E13" i="10"/>
  <c r="K24" i="3"/>
  <c r="E12" i="10"/>
  <c r="C12" i="10" s="1"/>
  <c r="F12" i="10" s="1"/>
  <c r="G12" i="10" s="1"/>
  <c r="E8" i="10"/>
  <c r="C8" i="10"/>
  <c r="B7" i="10"/>
  <c r="E5" i="10"/>
  <c r="E6" i="10"/>
  <c r="E7" i="10"/>
  <c r="C7" i="10"/>
  <c r="F7" i="10" s="1"/>
  <c r="G7" i="10" s="1"/>
  <c r="F8" i="10"/>
  <c r="G8" i="10"/>
  <c r="F17" i="10"/>
  <c r="G17" i="10"/>
  <c r="E3" i="10"/>
  <c r="C3" i="10"/>
  <c r="F3" i="10" s="1"/>
  <c r="G3" i="10" s="1"/>
  <c r="D7" i="10"/>
  <c r="E15" i="10"/>
  <c r="I12" i="9"/>
  <c r="M12" i="9" s="1"/>
  <c r="K27" i="3"/>
  <c r="J20" i="3"/>
  <c r="K20" i="3" s="1"/>
  <c r="K38" i="9"/>
  <c r="I37" i="9"/>
  <c r="I31" i="9"/>
  <c r="I32" i="9"/>
  <c r="I33" i="9"/>
  <c r="I34" i="9"/>
  <c r="I36" i="9"/>
  <c r="I38" i="9"/>
  <c r="I6" i="9"/>
  <c r="I7" i="9"/>
  <c r="I8" i="9"/>
  <c r="I9" i="9"/>
  <c r="I10" i="9"/>
  <c r="I11" i="9"/>
  <c r="I13" i="9"/>
  <c r="M13" i="9" s="1"/>
  <c r="I17" i="9"/>
  <c r="J19" i="9" s="1"/>
  <c r="I18" i="9"/>
  <c r="I19" i="9"/>
  <c r="I21" i="9"/>
  <c r="I24" i="9"/>
  <c r="E21" i="9"/>
  <c r="E15" i="9"/>
  <c r="E23" i="9" s="1"/>
  <c r="E25" i="9" s="1"/>
  <c r="B5" i="9"/>
  <c r="B15" i="9" s="1"/>
  <c r="B21" i="9"/>
  <c r="E103" i="3"/>
  <c r="E108" i="3"/>
  <c r="B108" i="3"/>
  <c r="B109" i="3"/>
  <c r="B110" i="3"/>
  <c r="B111" i="3"/>
  <c r="B112" i="3"/>
  <c r="B103" i="3"/>
  <c r="B104" i="3"/>
  <c r="B105" i="3"/>
  <c r="A103" i="3"/>
  <c r="A104" i="3"/>
  <c r="A105" i="3"/>
  <c r="A106" i="3"/>
  <c r="A108" i="3"/>
  <c r="A109" i="3"/>
  <c r="A110" i="3"/>
  <c r="A111" i="3"/>
  <c r="A112" i="3"/>
  <c r="A102" i="3"/>
  <c r="B102" i="3"/>
  <c r="K9" i="3"/>
  <c r="E9" i="3"/>
  <c r="J9" i="3" s="1"/>
  <c r="K13" i="3"/>
  <c r="K19" i="3"/>
  <c r="K23" i="3"/>
  <c r="K26" i="3"/>
  <c r="E102" i="3"/>
  <c r="J94" i="3"/>
  <c r="J129" i="3" s="1"/>
  <c r="I1" i="3"/>
  <c r="B18" i="3"/>
  <c r="H39" i="4"/>
  <c r="H44" i="4" s="1"/>
  <c r="B10" i="10"/>
  <c r="B11" i="3"/>
  <c r="B8" i="3"/>
  <c r="K8" i="3" s="1"/>
  <c r="B10" i="3"/>
  <c r="E10" i="3"/>
  <c r="L16" i="4"/>
  <c r="L33" i="4" s="1"/>
  <c r="H38" i="4" s="1"/>
  <c r="L14" i="4"/>
  <c r="L31" i="4" s="1"/>
  <c r="H36" i="4" s="1"/>
  <c r="H41" i="4" s="1"/>
  <c r="H16" i="4"/>
  <c r="H14" i="4"/>
  <c r="L7" i="4"/>
  <c r="L15" i="4" s="1"/>
  <c r="L32" i="4" s="1"/>
  <c r="H37" i="4" s="1"/>
  <c r="H42" i="4" s="1"/>
  <c r="H7" i="4"/>
  <c r="E18" i="3"/>
  <c r="H11" i="3"/>
  <c r="G4" i="2"/>
  <c r="D4" i="2"/>
  <c r="B4" i="2"/>
  <c r="E8" i="3"/>
  <c r="O19" i="9" l="1"/>
  <c r="K19" i="9"/>
  <c r="N19" i="9"/>
  <c r="M19" i="9"/>
  <c r="L19" i="9"/>
  <c r="H45" i="4"/>
  <c r="B23" i="9"/>
  <c r="I15" i="9"/>
  <c r="I5" i="9"/>
  <c r="K38" i="3"/>
  <c r="B102" i="13"/>
  <c r="B120" i="12"/>
  <c r="B106" i="3"/>
  <c r="J10" i="3"/>
  <c r="K10" i="3" s="1"/>
  <c r="C6" i="4"/>
  <c r="G39" i="4" s="1"/>
  <c r="G44" i="4" s="1"/>
  <c r="J11" i="3"/>
  <c r="K11" i="3" s="1"/>
  <c r="J18" i="3"/>
  <c r="J31" i="3" s="1"/>
  <c r="J40" i="3" s="1"/>
  <c r="J8" i="3"/>
  <c r="H33" i="4"/>
  <c r="H15" i="4"/>
  <c r="H32" i="4" s="1"/>
  <c r="H31" i="4"/>
  <c r="B11" i="10"/>
  <c r="B15" i="10" s="1"/>
  <c r="C15" i="10" s="1"/>
  <c r="C10" i="10"/>
  <c r="F10" i="10" s="1"/>
  <c r="G10" i="10" s="1"/>
  <c r="K22" i="3"/>
  <c r="B25" i="9" l="1"/>
  <c r="I25" i="9" s="1"/>
  <c r="I23" i="9"/>
  <c r="J14" i="3"/>
  <c r="J42" i="3" s="1"/>
  <c r="K18" i="3"/>
  <c r="C7" i="4"/>
  <c r="C12" i="4" s="1"/>
  <c r="C16" i="4" s="1"/>
  <c r="C21" i="4" s="1"/>
  <c r="E39" i="4"/>
  <c r="E44" i="4" s="1"/>
  <c r="K17" i="3"/>
  <c r="F15" i="10"/>
  <c r="G15" i="10" s="1"/>
  <c r="K31" i="3" l="1"/>
  <c r="K40" i="3" s="1"/>
  <c r="C11" i="4"/>
  <c r="C15" i="4" s="1"/>
  <c r="C20" i="4" s="1"/>
  <c r="D32" i="4" s="1"/>
  <c r="G37" i="4" s="1"/>
  <c r="G42" i="4" s="1"/>
  <c r="C10" i="4"/>
  <c r="C14" i="4" s="1"/>
  <c r="C19" i="4" s="1"/>
  <c r="C31" i="4" s="1"/>
  <c r="E36" i="4" s="1"/>
  <c r="E41" i="4" s="1"/>
  <c r="C33" i="4"/>
  <c r="E38" i="4" s="1"/>
  <c r="E43" i="4" s="1"/>
  <c r="D33" i="4"/>
  <c r="G38" i="4" s="1"/>
  <c r="G43" i="4" s="1"/>
  <c r="C32" i="4" l="1"/>
  <c r="E37" i="4" s="1"/>
  <c r="E42" i="4" s="1"/>
  <c r="E45" i="4" s="1"/>
  <c r="D31" i="4"/>
  <c r="G36" i="4" s="1"/>
  <c r="G41" i="4" s="1"/>
  <c r="G45" i="4" s="1"/>
  <c r="K15" i="12" l="1"/>
  <c r="K12" i="3"/>
  <c r="K14" i="3" s="1"/>
  <c r="K43" i="3" l="1"/>
  <c r="K42" i="3"/>
  <c r="J43" i="3" l="1"/>
  <c r="C117" i="12" l="1"/>
  <c r="C103" i="3"/>
  <c r="C99" i="13"/>
  <c r="C105" i="13"/>
  <c r="C108" i="3"/>
  <c r="C123" i="12"/>
  <c r="B111" i="13" l="1"/>
  <c r="B129" i="12"/>
  <c r="B14" i="12"/>
  <c r="J14" i="12" s="1"/>
  <c r="K14" i="12" s="1"/>
  <c r="B10" i="13"/>
  <c r="J10" i="13" s="1"/>
  <c r="C116" i="12"/>
  <c r="C102" i="3"/>
  <c r="C98" i="13"/>
  <c r="E111" i="13" l="1"/>
  <c r="E129" i="12"/>
  <c r="C129" i="12"/>
  <c r="C111" i="13"/>
  <c r="E118" i="12"/>
  <c r="E104" i="3"/>
  <c r="E100" i="13"/>
  <c r="E112" i="3" l="1"/>
  <c r="E127" i="12"/>
  <c r="E109" i="13"/>
  <c r="E106" i="13"/>
  <c r="E124" i="12"/>
  <c r="E109" i="3"/>
  <c r="E110" i="13"/>
  <c r="E128" i="12"/>
  <c r="E107" i="13"/>
  <c r="E125" i="12"/>
  <c r="E110" i="3"/>
  <c r="B9" i="13"/>
  <c r="J9" i="13" s="1"/>
  <c r="J14" i="13" s="1"/>
  <c r="B110" i="13"/>
  <c r="B13" i="12"/>
  <c r="J13" i="12" s="1"/>
  <c r="B128" i="12"/>
  <c r="E126" i="12"/>
  <c r="E111" i="3"/>
  <c r="E108" i="13"/>
  <c r="E119" i="12"/>
  <c r="E101" i="13"/>
  <c r="E105" i="3"/>
  <c r="C127" i="12" l="1"/>
  <c r="C112" i="3"/>
  <c r="C109" i="13"/>
  <c r="C128" i="12"/>
  <c r="C110" i="13"/>
  <c r="J41" i="13"/>
  <c r="J40" i="13"/>
  <c r="C110" i="3"/>
  <c r="C125" i="12"/>
  <c r="C107" i="13"/>
  <c r="C106" i="13"/>
  <c r="C124" i="12"/>
  <c r="C109" i="3"/>
  <c r="E106" i="3"/>
  <c r="E102" i="13"/>
  <c r="E120" i="12"/>
  <c r="K13" i="12"/>
  <c r="K17" i="12" s="1"/>
  <c r="J17" i="12"/>
  <c r="C111" i="3"/>
  <c r="C108" i="13"/>
  <c r="C126" i="12"/>
  <c r="E103" i="13"/>
  <c r="E121" i="12"/>
  <c r="K45" i="12" l="1"/>
  <c r="K46" i="12"/>
  <c r="C118" i="12"/>
  <c r="C100" i="13"/>
  <c r="C104" i="3"/>
  <c r="J45" i="12"/>
  <c r="J46" i="12"/>
  <c r="C101" i="13" l="1"/>
  <c r="C119" i="12"/>
  <c r="C105" i="3"/>
  <c r="C106" i="3" l="1"/>
  <c r="C102" i="13"/>
  <c r="C120" i="12"/>
  <c r="C103" i="13"/>
  <c r="C121" i="12"/>
</calcChain>
</file>

<file path=xl/comments1.xml><?xml version="1.0" encoding="utf-8"?>
<comments xmlns="http://schemas.openxmlformats.org/spreadsheetml/2006/main">
  <authors>
    <author>robinreid</author>
  </authors>
  <commentList>
    <comment ref="C36" authorId="0" shapeId="0">
      <text>
        <r>
          <rPr>
            <b/>
            <sz val="9"/>
            <color indexed="81"/>
            <rFont val="Tahoma"/>
            <family val="2"/>
          </rPr>
          <t>robinreid:</t>
        </r>
        <r>
          <rPr>
            <sz val="9"/>
            <color indexed="81"/>
            <rFont val="Tahoma"/>
            <family val="2"/>
          </rPr>
          <t xml:space="preserve">
Get updated prices from crop budgets?</t>
        </r>
      </text>
    </comment>
  </commentList>
</comments>
</file>

<file path=xl/sharedStrings.xml><?xml version="1.0" encoding="utf-8"?>
<sst xmlns="http://schemas.openxmlformats.org/spreadsheetml/2006/main" count="521" uniqueCount="262">
  <si>
    <t>Price</t>
  </si>
  <si>
    <t>Current Prices</t>
  </si>
  <si>
    <t>Production Efficiency Information</t>
  </si>
  <si>
    <t>Milk Produced Per Cow (lbs)</t>
  </si>
  <si>
    <t>Returns</t>
  </si>
  <si>
    <t>Unit</t>
  </si>
  <si>
    <t>Qty</t>
  </si>
  <si>
    <t>Milk Sales</t>
  </si>
  <si>
    <t>per cwt</t>
  </si>
  <si>
    <t>x</t>
  </si>
  <si>
    <t>lbs</t>
  </si>
  <si>
    <t>=</t>
  </si>
  <si>
    <t>Calves Sold</t>
  </si>
  <si>
    <t>Cull Cows Sold</t>
  </si>
  <si>
    <t>Manure Credit</t>
  </si>
  <si>
    <t>Other Income</t>
  </si>
  <si>
    <t>Total Gross Return</t>
  </si>
  <si>
    <t>Variable Costs</t>
  </si>
  <si>
    <t>per hour</t>
  </si>
  <si>
    <t>hours</t>
  </si>
  <si>
    <t>Vet Medicine/Drugs</t>
  </si>
  <si>
    <t>Machinery, Facility/Equip. Repairs</t>
  </si>
  <si>
    <t>Other variable costs</t>
  </si>
  <si>
    <t xml:space="preserve">  Total Variable Costs</t>
  </si>
  <si>
    <t>Fixed Costs</t>
  </si>
  <si>
    <t>Depreciation</t>
  </si>
  <si>
    <t>Taxes</t>
  </si>
  <si>
    <t>Farm/Livestock Insurance</t>
  </si>
  <si>
    <t>Opportunity Cost of Investment</t>
  </si>
  <si>
    <t>Other fixed costs</t>
  </si>
  <si>
    <t xml:space="preserve">  Total Fixed Costs</t>
  </si>
  <si>
    <t>Total Costs</t>
  </si>
  <si>
    <t>Income Over Variable Costs</t>
  </si>
  <si>
    <t xml:space="preserve">Income Over Total Costs </t>
  </si>
  <si>
    <r>
      <t xml:space="preserve">Kansas State University, Department of Agricultural Economics - </t>
    </r>
    <r>
      <rPr>
        <b/>
        <i/>
        <sz val="12"/>
        <color rgb="FF7030A0"/>
        <rFont val="Calibri"/>
        <family val="2"/>
        <scheme val="minor"/>
      </rPr>
      <t>www.agmanager.info</t>
    </r>
  </si>
  <si>
    <t>Publication: AM-FMG-Finishing</t>
  </si>
  <si>
    <t>Budget Assumptions</t>
  </si>
  <si>
    <t>Current</t>
  </si>
  <si>
    <t>One Year Out</t>
  </si>
  <si>
    <t>Five Years Out</t>
  </si>
  <si>
    <t>Replacement Heifers</t>
  </si>
  <si>
    <t>One Year Out Prices</t>
  </si>
  <si>
    <t>Five Years Out Prices</t>
  </si>
  <si>
    <t>per head</t>
  </si>
  <si>
    <t>Replacement Heifer Purchases</t>
  </si>
  <si>
    <t>Cull Cows Sales</t>
  </si>
  <si>
    <t>hd</t>
  </si>
  <si>
    <t>Information from Joe based on ASABE formulas</t>
  </si>
  <si>
    <t>Lactation Days</t>
  </si>
  <si>
    <t>days</t>
  </si>
  <si>
    <t>Freestall</t>
  </si>
  <si>
    <t>Drylot</t>
  </si>
  <si>
    <t>Milk production</t>
  </si>
  <si>
    <t>Daily Nutrients Excreted using ASABE Standard Equations</t>
  </si>
  <si>
    <t>Intercept</t>
  </si>
  <si>
    <t>Slope</t>
  </si>
  <si>
    <t>N (gm/day)</t>
  </si>
  <si>
    <t>Concentration of Crude Protein, %</t>
  </si>
  <si>
    <t>P (gm/day)</t>
  </si>
  <si>
    <t>Concentration of  Phosphorus, %</t>
  </si>
  <si>
    <t>K (gm/day)</t>
  </si>
  <si>
    <t>Concentration of Potassium, %</t>
  </si>
  <si>
    <t>N (lbs/day)</t>
  </si>
  <si>
    <t>P (lbs/day)</t>
  </si>
  <si>
    <t>K (lbs/day)</t>
  </si>
  <si>
    <t>Nutrients Excreted per Cow for Lactation Period</t>
  </si>
  <si>
    <t>N (lbs/year)</t>
  </si>
  <si>
    <t>P2O5 (lbs/year)</t>
  </si>
  <si>
    <t>K2O (lbs/year)</t>
  </si>
  <si>
    <t>Percentage of Nutrients Available at Application</t>
  </si>
  <si>
    <t>N Available</t>
  </si>
  <si>
    <t>P Available</t>
  </si>
  <si>
    <t>K Available</t>
  </si>
  <si>
    <t>Pounds of Nutrients Available at Application</t>
  </si>
  <si>
    <t>P2O5 Available</t>
  </si>
  <si>
    <t>K2O Available</t>
  </si>
  <si>
    <t>Pounds/kg</t>
  </si>
  <si>
    <t>Grams/lb</t>
  </si>
  <si>
    <t>Pounds/gallon</t>
  </si>
  <si>
    <t>Phosphorus to Phosphate conversion</t>
  </si>
  <si>
    <t>Potassium to Potash conversion</t>
  </si>
  <si>
    <t>% to credit</t>
  </si>
  <si>
    <t>Dry Period</t>
  </si>
  <si>
    <t>Heifer</t>
  </si>
  <si>
    <t>Daily milk production</t>
  </si>
  <si>
    <t>kg</t>
  </si>
  <si>
    <t>N, lbs/cow/year</t>
  </si>
  <si>
    <t>P2O5, lbs/cow/year</t>
  </si>
  <si>
    <t>K2O, lbs/cow/year</t>
  </si>
  <si>
    <t>Manure application</t>
  </si>
  <si>
    <t>Av. Body Weight</t>
  </si>
  <si>
    <t>DM Intake (lbs)</t>
  </si>
  <si>
    <t>DM Intake (kg)</t>
  </si>
  <si>
    <t>Total Pounds Freestall</t>
  </si>
  <si>
    <t>Total Pounds Drylot</t>
  </si>
  <si>
    <t>Nitrogen</t>
  </si>
  <si>
    <t>Phosphate</t>
  </si>
  <si>
    <t>Potash</t>
  </si>
  <si>
    <t>Application</t>
  </si>
  <si>
    <t>Net</t>
  </si>
  <si>
    <t>Milk Hauling &amp; Promotion</t>
  </si>
  <si>
    <t>Cull Replacements Sold</t>
  </si>
  <si>
    <t>Cull Yearlings Sold</t>
  </si>
  <si>
    <t>Death Loss</t>
  </si>
  <si>
    <t>Springer Heifer Sales</t>
  </si>
  <si>
    <t>%</t>
  </si>
  <si>
    <t>Utilities, Gas, Fuel, Oil</t>
  </si>
  <si>
    <t>Purchase of Heifer Calf</t>
  </si>
  <si>
    <t>Total per Heifer</t>
  </si>
  <si>
    <t>Total per Cow/Year</t>
  </si>
  <si>
    <t>Default Dairy Prices</t>
  </si>
  <si>
    <t>Publication: AM-FMG-Dairy Heifers</t>
  </si>
  <si>
    <t>Publication: AM-FMG-Heifers</t>
  </si>
  <si>
    <t>Total</t>
  </si>
  <si>
    <t>Total for cows</t>
  </si>
  <si>
    <t>Total for heifers</t>
  </si>
  <si>
    <t>Livestock Breeding/Marketing</t>
  </si>
  <si>
    <t>2013 KFMA Values</t>
  </si>
  <si>
    <t>Dairy Expense</t>
  </si>
  <si>
    <t>Total per CWT Milk/Year</t>
  </si>
  <si>
    <t>Feed</t>
  </si>
  <si>
    <t>Notes:</t>
  </si>
  <si>
    <t>Remaining amount to be added to VC</t>
  </si>
  <si>
    <t xml:space="preserve">Click on "Current Prices" to change to "One Year Out Prices " or "Five Years Out Prices"
</t>
  </si>
  <si>
    <t>Milk Premiums</t>
  </si>
  <si>
    <t>per head/day</t>
  </si>
  <si>
    <t>Milk:Feed Ratio</t>
  </si>
  <si>
    <t>Calf</t>
  </si>
  <si>
    <t>Liquid Feed</t>
  </si>
  <si>
    <t>Calf Starter</t>
  </si>
  <si>
    <t>Forage</t>
  </si>
  <si>
    <t>Bedding</t>
  </si>
  <si>
    <t>Veterinary</t>
  </si>
  <si>
    <t>Interest</t>
  </si>
  <si>
    <t>Sum</t>
  </si>
  <si>
    <t>Total Sum</t>
  </si>
  <si>
    <t>Opportunity Cost of Unpaid Labor &amp; Management</t>
  </si>
  <si>
    <t>Return</t>
  </si>
  <si>
    <t>Feed Cost</t>
  </si>
  <si>
    <t>Variable Cost (w/o labor and management)</t>
  </si>
  <si>
    <t>Labor &amp; Management Total</t>
  </si>
  <si>
    <t>Total Fixed Costs</t>
  </si>
  <si>
    <t>Labor/Mngt. Required</t>
  </si>
  <si>
    <t>Hours/calf</t>
  </si>
  <si>
    <t>Weaning Age</t>
  </si>
  <si>
    <t>weeks</t>
  </si>
  <si>
    <t>Days on feed</t>
  </si>
  <si>
    <t>Total Feed</t>
  </si>
  <si>
    <t>Breeding</t>
  </si>
  <si>
    <t>Electric and Fuel</t>
  </si>
  <si>
    <t>Housing</t>
  </si>
  <si>
    <t>Equipment</t>
  </si>
  <si>
    <t>Manure Storage</t>
  </si>
  <si>
    <t>Hours/heifer</t>
  </si>
  <si>
    <t>Months</t>
  </si>
  <si>
    <t>Days</t>
  </si>
  <si>
    <t>Management Labor</t>
  </si>
  <si>
    <t>Daily Labor</t>
  </si>
  <si>
    <t>Cow %</t>
  </si>
  <si>
    <t>Heifer %</t>
  </si>
  <si>
    <t>Paid &amp; Unpaid Labor</t>
  </si>
  <si>
    <t>Paid &amp; Unpaid Management</t>
  </si>
  <si>
    <t>Valued at $13 per hour</t>
  </si>
  <si>
    <t>Valued at $22 per hour</t>
  </si>
  <si>
    <t>DIRTI Total</t>
  </si>
  <si>
    <t>Repairs</t>
  </si>
  <si>
    <t>Insurance</t>
  </si>
  <si>
    <t>Something didn't add up here</t>
  </si>
  <si>
    <t>Used Labor hours * Labor Rate instead of listed Labor costs</t>
  </si>
  <si>
    <t>Total for Heifers (1 Year)</t>
  </si>
  <si>
    <t>Total Labor</t>
  </si>
  <si>
    <t>Total for Heifers was determined based on 2013 Economic Cost and Labor Efficiencies Associated with Raising Dairy Herd Replacements on Wisconsin Dairy Farms and Custom Heifer Raising Operations</t>
  </si>
  <si>
    <t>Total for Heifers was divided by two to get a yearly cost (assuming a two year heifer development budget</t>
  </si>
  <si>
    <t>Total for Cows was determined by taking KFMA values and subtracting the Total for Heifers for 1 year</t>
  </si>
  <si>
    <t xml:space="preserve">Percentages will be used to apply costs going forward from KFMA values. </t>
  </si>
  <si>
    <t>UW-Heifers costs 2013</t>
  </si>
  <si>
    <t>2014 KFMA Values</t>
  </si>
  <si>
    <t>Jan. 2015 ERS has 11.45/cwt</t>
  </si>
  <si>
    <t>Jan. 2015 ERS has $22.87 for total costs</t>
  </si>
  <si>
    <t>Regression from FINBIN</t>
  </si>
  <si>
    <t>Cow Breeding Fees</t>
  </si>
  <si>
    <t>Fuel &amp; Oil</t>
  </si>
  <si>
    <t>Matched to Regression from total labor costs from FINBIN</t>
  </si>
  <si>
    <t>Utilities</t>
  </si>
  <si>
    <t>FINBIN average (regression had low R2)</t>
  </si>
  <si>
    <t>Average from FINBIN (low R2)</t>
  </si>
  <si>
    <t>Average of Labor and Management Charge</t>
  </si>
  <si>
    <t>Average of Regression from both cow worksheets</t>
  </si>
  <si>
    <t>Heifer Feed Cost</t>
  </si>
  <si>
    <t>total cost</t>
  </si>
  <si>
    <t>Replacement Heifer Turnover</t>
  </si>
  <si>
    <t>Breeding Fees</t>
  </si>
  <si>
    <t>FINBIN Regression</t>
  </si>
  <si>
    <t>Average of FINBIN</t>
  </si>
  <si>
    <t>FINBIN regression</t>
  </si>
  <si>
    <t>FINBIN regression of Misc. + Building Leases</t>
  </si>
  <si>
    <t xml:space="preserve"> KSU Dairy Cow Budget- Raised Replacements</t>
  </si>
  <si>
    <t xml:space="preserve"> KSU Dairy Cow Budget-Purchased Replacements</t>
  </si>
  <si>
    <t xml:space="preserve"> KSU Dairy Replacement Heifer Budget</t>
  </si>
  <si>
    <t>Regression of FINBIN Feed Cost per head per day and Milk Produced per Cow to explain daily feed cost</t>
  </si>
  <si>
    <t>Custom Hire</t>
  </si>
  <si>
    <t xml:space="preserve">Regression from FINBIN, includes hoof trimming, hauling manure, etc. </t>
  </si>
  <si>
    <t>Regression from FINBIN, "Supplies" + $30 for BST costs</t>
  </si>
  <si>
    <t>Milk Marketing &amp; Hauling</t>
  </si>
  <si>
    <t>Machinery and Building Leases</t>
  </si>
  <si>
    <t>Regression from FINBIN, Buildings and Equipment</t>
  </si>
  <si>
    <t xml:space="preserve">Daily Labor </t>
  </si>
  <si>
    <t>Cash Interest Paid</t>
  </si>
  <si>
    <t>INTERNAL NOTES:</t>
  </si>
  <si>
    <t>Calves Sold at Birth</t>
  </si>
  <si>
    <t>Repl. Heifer Death Loss</t>
  </si>
  <si>
    <t>Budget</t>
  </si>
  <si>
    <t>135 per cow</t>
  </si>
  <si>
    <t>40 per heifer</t>
  </si>
  <si>
    <t>Regression of Supplies from FINBIN</t>
  </si>
  <si>
    <t>Heifer Total Feed Cost ($)</t>
  </si>
  <si>
    <t>16% 100 pounds of feed ($)</t>
  </si>
  <si>
    <t>Total Labor FINBIN Regression (Labor hours should be 14 total)</t>
  </si>
  <si>
    <t>FINBIN Regression (isolated spreadsheet)</t>
  </si>
  <si>
    <t>Other Variable Costs</t>
  </si>
  <si>
    <t xml:space="preserve">FINBIN Average of Custom Hire </t>
  </si>
  <si>
    <t>Feed Costs</t>
  </si>
  <si>
    <t>Calculated as 5.5% of total costs ($4,753.09)</t>
  </si>
  <si>
    <t>Calculated as 5.5% of total costs ($4,901.53)</t>
  </si>
  <si>
    <t>Calculated as 5.5% of total costs ($1541)</t>
  </si>
  <si>
    <t>Publication: AM-FMG-Dairy Cows-Purchased</t>
  </si>
  <si>
    <t>Publication: AM-FMG-Dairy Cow-Purchased</t>
  </si>
  <si>
    <t>Cow Feed Cost</t>
  </si>
  <si>
    <t>Publication: AM-FMG-Dairy Cows-Raised</t>
  </si>
  <si>
    <t>Publication: AM-FMG-Dairy Cow-Raised</t>
  </si>
  <si>
    <t>KSU-Dairy Farm Management Guide Budgets</t>
  </si>
  <si>
    <t>INTRODUCTION</t>
  </si>
  <si>
    <t>The Kansas State University cost-return budgets were developed to serve as a barometer of profitability for various livestock industry enterprises.  These budgets are NOT intended to represent any one operation.  Each individual operation should adjust key inputs to reflect their own situation.</t>
  </si>
  <si>
    <t>INSTRUCTIONS FOR THE USER:</t>
  </si>
  <si>
    <r>
      <t xml:space="preserve">Be sure to </t>
    </r>
    <r>
      <rPr>
        <b/>
        <sz val="12"/>
        <rFont val="Calibri"/>
        <family val="2"/>
        <scheme val="minor"/>
      </rPr>
      <t xml:space="preserve">"Enable Content" </t>
    </r>
    <r>
      <rPr>
        <sz val="12"/>
        <rFont val="Calibri"/>
        <family val="2"/>
        <scheme val="minor"/>
      </rPr>
      <t xml:space="preserve">and </t>
    </r>
    <r>
      <rPr>
        <b/>
        <sz val="12"/>
        <rFont val="Calibri"/>
        <family val="2"/>
        <scheme val="minor"/>
      </rPr>
      <t>"Enable Macros"</t>
    </r>
    <r>
      <rPr>
        <sz val="12"/>
        <rFont val="Calibri"/>
        <family val="2"/>
        <scheme val="minor"/>
      </rPr>
      <t xml:space="preserve"> for the spreadsheet to function correctly.  </t>
    </r>
    <r>
      <rPr>
        <b/>
        <sz val="12"/>
        <color rgb="FF0070C0"/>
        <rFont val="Calibri"/>
        <family val="2"/>
        <scheme val="minor"/>
      </rPr>
      <t>Blue</t>
    </r>
    <r>
      <rPr>
        <sz val="12"/>
        <rFont val="Calibri"/>
        <family val="2"/>
        <scheme val="minor"/>
      </rPr>
      <t xml:space="preserve"> values are inputs that should be changed from the defaults to match your operation.  Black values are automatically calculated.</t>
    </r>
  </si>
  <si>
    <t>FOR MORE INFORMATION:</t>
  </si>
  <si>
    <t>Developed by:</t>
  </si>
  <si>
    <t>Robin Reid</t>
  </si>
  <si>
    <t>Glynn T. Tonsor, Ph.D.</t>
  </si>
  <si>
    <t>Extension Associate</t>
  </si>
  <si>
    <t>Agricultural Economist</t>
  </si>
  <si>
    <t>Department of Agricultural Economics</t>
  </si>
  <si>
    <t>Kansas State University</t>
  </si>
  <si>
    <t>robinreid@ksu.edu</t>
  </si>
  <si>
    <t>gtonsor@k-state.edu</t>
  </si>
  <si>
    <t>785-532-0964</t>
  </si>
  <si>
    <t>785-532-1518</t>
  </si>
  <si>
    <t>Excel spreadsheets for dairy enterprise budgeting to evaluate potential income, costs and profitability</t>
  </si>
  <si>
    <t>Version- 7.5.2017</t>
  </si>
  <si>
    <t>Copyright 2017 AgManager.info, K-State Department of Agricultural Economics</t>
  </si>
  <si>
    <t>(as of July 1st, 2017)</t>
  </si>
  <si>
    <t>(Nov. 2016 USDA)</t>
  </si>
  <si>
    <t>Corn ($/bu)</t>
  </si>
  <si>
    <t>Soybeans ($/bu)</t>
  </si>
  <si>
    <t>Dairy Alfalfa ($/ton)</t>
  </si>
  <si>
    <t>Milk ($/cwt)</t>
  </si>
  <si>
    <t>Replacement Heifers (per hd)</t>
  </si>
  <si>
    <t>Dairy Bull Calves (per hd)</t>
  </si>
  <si>
    <t>Dairy Heifer Calves (per hd)</t>
  </si>
  <si>
    <t>Dairy Cull cow (per cwt)</t>
  </si>
  <si>
    <t>Cull Replacement Heifer (per cwt)</t>
  </si>
  <si>
    <t>Cull Yearling Heifer (per cwt)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</si>
</sst>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4" formatCode="_(&quot;$&quot;* #,##0.00_);_(&quot;$&quot;* \(#,##0.00\);_(&quot;$&quot;* &quot;-&quot;??_);_(@_)"/>
    <numFmt numFmtId="164" formatCode="0.0%"/>
    <numFmt numFmtId="165" formatCode="&quot;$&quot;#,##0.0000"/>
    <numFmt numFmtId="166" formatCode="&quot;$&quot;#,##0.00"/>
    <numFmt numFmtId="167" formatCode="0.0"/>
    <numFmt numFmtId="168" formatCode="0.0000"/>
    <numFmt numFmtId="169" formatCode="&quot;$&quot;#,##0"/>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4"/>
      <color rgb="FF7030A0"/>
      <name val="Calibri"/>
      <family val="2"/>
      <scheme val="minor"/>
    </font>
    <font>
      <b/>
      <i/>
      <sz val="11"/>
      <color rgb="FF7030A0"/>
      <name val="Calibri"/>
      <family val="2"/>
      <scheme val="minor"/>
    </font>
    <font>
      <b/>
      <sz val="11"/>
      <color rgb="FF7030A0"/>
      <name val="Calibri"/>
      <family val="2"/>
      <scheme val="minor"/>
    </font>
    <font>
      <b/>
      <u/>
      <sz val="11"/>
      <color theme="1"/>
      <name val="Calibri"/>
      <family val="2"/>
      <scheme val="minor"/>
    </font>
    <font>
      <b/>
      <sz val="11"/>
      <color rgb="FF0070C0"/>
      <name val="Calibri"/>
      <family val="2"/>
      <scheme val="minor"/>
    </font>
    <font>
      <i/>
      <sz val="11"/>
      <color theme="1"/>
      <name val="Calibri"/>
      <family val="2"/>
      <scheme val="minor"/>
    </font>
    <font>
      <b/>
      <i/>
      <sz val="11"/>
      <color theme="1"/>
      <name val="Calibri"/>
      <family val="2"/>
      <scheme val="minor"/>
    </font>
    <font>
      <b/>
      <sz val="12"/>
      <color rgb="FF7030A0"/>
      <name val="Calibri"/>
      <family val="2"/>
      <scheme val="minor"/>
    </font>
    <font>
      <b/>
      <i/>
      <sz val="12"/>
      <color rgb="FF7030A0"/>
      <name val="Calibri"/>
      <family val="2"/>
      <scheme val="minor"/>
    </font>
    <font>
      <u/>
      <sz val="11"/>
      <color theme="10"/>
      <name val="Calibri"/>
      <family val="2"/>
      <scheme val="minor"/>
    </font>
    <font>
      <b/>
      <sz val="9"/>
      <color indexed="81"/>
      <name val="Tahoma"/>
      <family val="2"/>
    </font>
    <font>
      <sz val="9"/>
      <color indexed="81"/>
      <name val="Tahoma"/>
      <family val="2"/>
    </font>
    <font>
      <sz val="10"/>
      <name val="Arial"/>
      <family val="2"/>
    </font>
    <font>
      <sz val="11"/>
      <color indexed="12"/>
      <name val="Calibri"/>
      <family val="2"/>
      <scheme val="minor"/>
    </font>
    <font>
      <sz val="12"/>
      <name val="Calibri"/>
      <family val="2"/>
      <scheme val="minor"/>
    </font>
    <font>
      <sz val="12"/>
      <color indexed="8"/>
      <name val="Calibri"/>
      <family val="2"/>
      <scheme val="minor"/>
    </font>
    <font>
      <sz val="12"/>
      <color indexed="17"/>
      <name val="Calibri"/>
      <family val="2"/>
      <scheme val="minor"/>
    </font>
    <font>
      <sz val="11"/>
      <color theme="0"/>
      <name val="Calibri"/>
      <family val="2"/>
      <scheme val="minor"/>
    </font>
    <font>
      <b/>
      <sz val="16"/>
      <color theme="1"/>
      <name val="Calibri"/>
      <family val="2"/>
      <scheme val="minor"/>
    </font>
    <font>
      <b/>
      <sz val="11"/>
      <color theme="8"/>
      <name val="Calibri"/>
      <family val="2"/>
      <scheme val="minor"/>
    </font>
    <font>
      <b/>
      <sz val="11"/>
      <color rgb="FF000000"/>
      <name val="Calibri"/>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b/>
      <u/>
      <sz val="12"/>
      <name val="Calibri"/>
      <family val="2"/>
      <scheme val="minor"/>
    </font>
    <font>
      <b/>
      <sz val="12"/>
      <name val="Calibri"/>
      <family val="2"/>
      <scheme val="minor"/>
    </font>
    <font>
      <b/>
      <sz val="12"/>
      <color rgb="FF0070C0"/>
      <name val="Calibri"/>
      <family val="2"/>
      <scheme val="minor"/>
    </font>
    <font>
      <sz val="11"/>
      <name val="Arial"/>
      <family val="2"/>
    </font>
    <font>
      <u/>
      <sz val="10"/>
      <color indexed="12"/>
      <name val="Arial"/>
      <family val="2"/>
    </font>
    <font>
      <u/>
      <sz val="12"/>
      <color indexed="12"/>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43"/>
        <bgColor indexed="64"/>
      </patternFill>
    </fill>
    <fill>
      <patternFill patternType="solid">
        <fgColor indexed="41"/>
        <bgColor indexed="64"/>
      </patternFill>
    </fill>
    <fill>
      <patternFill patternType="solid">
        <fgColor indexed="43"/>
        <bgColor indexed="12"/>
      </patternFill>
    </fill>
    <fill>
      <patternFill patternType="solid">
        <fgColor theme="5" tint="0.39997558519241921"/>
        <bgColor indexed="64"/>
      </patternFill>
    </fill>
    <fill>
      <patternFill patternType="solid">
        <fgColor theme="7" tint="0.59999389629810485"/>
        <bgColor indexed="64"/>
      </patternFill>
    </fill>
    <fill>
      <patternFill patternType="solid">
        <fgColor rgb="FF7030A0"/>
        <bgColor indexed="64"/>
      </patternFill>
    </fill>
    <fill>
      <patternFill patternType="solid">
        <fgColor theme="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s>
  <borders count="29">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style="medium">
        <color indexed="64"/>
      </top>
      <bottom style="thin">
        <color indexed="64"/>
      </bottom>
      <diagonal/>
    </border>
    <border>
      <left/>
      <right/>
      <top/>
      <bottom style="dashed">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0" fontId="17" fillId="0" borderId="0"/>
    <xf numFmtId="0" fontId="17" fillId="0" borderId="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cellStyleXfs>
  <cellXfs count="275">
    <xf numFmtId="0" fontId="0" fillId="0" borderId="0" xfId="0"/>
    <xf numFmtId="0" fontId="6" fillId="0" borderId="0" xfId="0" applyFont="1" applyFill="1" applyAlignment="1">
      <alignment horizontal="right"/>
    </xf>
    <xf numFmtId="0" fontId="7" fillId="0" borderId="0" xfId="0" applyFont="1" applyFill="1"/>
    <xf numFmtId="0" fontId="0" fillId="0" borderId="0" xfId="0" applyFill="1"/>
    <xf numFmtId="0" fontId="0" fillId="0" borderId="0" xfId="0" applyFill="1" applyAlignment="1">
      <alignment horizontal="center"/>
    </xf>
    <xf numFmtId="0" fontId="8" fillId="0" borderId="0" xfId="0" applyFont="1"/>
    <xf numFmtId="0" fontId="0" fillId="0" borderId="0" xfId="0" applyAlignment="1">
      <alignment horizontal="center"/>
    </xf>
    <xf numFmtId="0" fontId="9" fillId="0" borderId="0" xfId="0" applyFont="1" applyAlignment="1">
      <alignment horizontal="center"/>
    </xf>
    <xf numFmtId="0" fontId="0" fillId="0" borderId="0" xfId="0" applyAlignment="1">
      <alignment horizontal="center"/>
    </xf>
    <xf numFmtId="167" fontId="9" fillId="0" borderId="0" xfId="0" applyNumberFormat="1" applyFont="1"/>
    <xf numFmtId="0" fontId="2" fillId="0" borderId="1" xfId="0" applyFont="1" applyBorder="1" applyAlignment="1">
      <alignment horizontal="center" vertical="center" wrapText="1"/>
    </xf>
    <xf numFmtId="0" fontId="10" fillId="0" borderId="0" xfId="0" applyFont="1"/>
    <xf numFmtId="1" fontId="4" fillId="0" borderId="0" xfId="0" applyNumberFormat="1" applyFont="1" applyAlignment="1">
      <alignment horizontal="center"/>
    </xf>
    <xf numFmtId="2" fontId="0" fillId="0" borderId="0" xfId="0" applyNumberFormat="1"/>
    <xf numFmtId="2" fontId="0" fillId="0" borderId="0" xfId="0" applyNumberFormat="1" applyAlignment="1">
      <alignment horizontal="center"/>
    </xf>
    <xf numFmtId="44" fontId="0" fillId="0" borderId="0" xfId="0" applyNumberFormat="1"/>
    <xf numFmtId="44" fontId="9" fillId="0" borderId="0" xfId="1" applyFont="1" applyAlignment="1">
      <alignment horizontal="center"/>
    </xf>
    <xf numFmtId="1" fontId="9" fillId="0" borderId="0" xfId="0" applyNumberFormat="1" applyFont="1" applyAlignment="1">
      <alignment horizontal="center"/>
    </xf>
    <xf numFmtId="167" fontId="9" fillId="0" borderId="0" xfId="0" applyNumberFormat="1" applyFont="1" applyAlignment="1">
      <alignment horizontal="center"/>
    </xf>
    <xf numFmtId="0" fontId="11" fillId="0" borderId="1" xfId="0" applyFont="1" applyBorder="1"/>
    <xf numFmtId="0" fontId="0" fillId="0" borderId="1" xfId="0" applyBorder="1"/>
    <xf numFmtId="0" fontId="0" fillId="0" borderId="1" xfId="0" applyBorder="1" applyAlignment="1">
      <alignment horizontal="center"/>
    </xf>
    <xf numFmtId="44" fontId="2" fillId="0" borderId="1" xfId="0" applyNumberFormat="1" applyFont="1" applyBorder="1"/>
    <xf numFmtId="0" fontId="11" fillId="0" borderId="0" xfId="0" applyFont="1"/>
    <xf numFmtId="44" fontId="4" fillId="0" borderId="0" xfId="1" applyFont="1" applyAlignment="1">
      <alignment horizontal="center"/>
    </xf>
    <xf numFmtId="2" fontId="4" fillId="0" borderId="0" xfId="0" applyNumberFormat="1" applyFont="1" applyAlignment="1">
      <alignment horizontal="center"/>
    </xf>
    <xf numFmtId="0" fontId="0" fillId="0" borderId="0" xfId="0" applyAlignment="1">
      <alignment horizontal="left"/>
    </xf>
    <xf numFmtId="167" fontId="4" fillId="0" borderId="0" xfId="0" applyNumberFormat="1" applyFont="1" applyAlignment="1">
      <alignment horizontal="center"/>
    </xf>
    <xf numFmtId="44" fontId="2" fillId="0" borderId="0" xfId="0" applyNumberFormat="1" applyFont="1"/>
    <xf numFmtId="0" fontId="0" fillId="0" borderId="0" xfId="0" applyBorder="1"/>
    <xf numFmtId="0" fontId="0" fillId="0" borderId="0" xfId="0" applyBorder="1" applyAlignment="1">
      <alignment horizontal="center"/>
    </xf>
    <xf numFmtId="0" fontId="0" fillId="0" borderId="0" xfId="0" applyFill="1" applyBorder="1"/>
    <xf numFmtId="0" fontId="11" fillId="0" borderId="2" xfId="0" applyFont="1" applyBorder="1"/>
    <xf numFmtId="0" fontId="0" fillId="0" borderId="2" xfId="0" applyBorder="1"/>
    <xf numFmtId="0" fontId="0" fillId="0" borderId="2" xfId="0" applyBorder="1" applyAlignment="1">
      <alignment horizontal="center"/>
    </xf>
    <xf numFmtId="44" fontId="2" fillId="0" borderId="2" xfId="0" applyNumberFormat="1" applyFont="1" applyBorder="1"/>
    <xf numFmtId="0" fontId="2" fillId="0" borderId="0" xfId="0" applyFont="1"/>
    <xf numFmtId="44" fontId="2" fillId="0" borderId="4" xfId="0" applyNumberFormat="1" applyFont="1" applyBorder="1"/>
    <xf numFmtId="0" fontId="2" fillId="0" borderId="0" xfId="0" applyFont="1" applyBorder="1"/>
    <xf numFmtId="44" fontId="2" fillId="0" borderId="0" xfId="0" applyNumberFormat="1" applyFont="1" applyBorder="1"/>
    <xf numFmtId="0" fontId="12" fillId="2" borderId="1" xfId="0" applyFont="1" applyFill="1" applyBorder="1" applyAlignment="1">
      <alignment horizontal="left"/>
    </xf>
    <xf numFmtId="17" fontId="0" fillId="0" borderId="0" xfId="0" applyNumberFormat="1"/>
    <xf numFmtId="0" fontId="12" fillId="0" borderId="0" xfId="0" applyFont="1" applyFill="1" applyBorder="1" applyAlignment="1">
      <alignment horizontal="left"/>
    </xf>
    <xf numFmtId="0" fontId="12" fillId="0" borderId="0" xfId="0" applyFont="1"/>
    <xf numFmtId="44" fontId="0" fillId="0" borderId="0" xfId="0" applyNumberFormat="1" applyBorder="1"/>
    <xf numFmtId="44" fontId="0" fillId="0" borderId="0" xfId="0" applyNumberFormat="1" applyBorder="1" applyAlignment="1">
      <alignment horizontal="center"/>
    </xf>
    <xf numFmtId="0" fontId="0" fillId="0" borderId="0" xfId="0" applyAlignment="1">
      <alignment horizontal="center"/>
    </xf>
    <xf numFmtId="0" fontId="2" fillId="2" borderId="0" xfId="0" applyFont="1" applyFill="1"/>
    <xf numFmtId="0" fontId="0" fillId="2" borderId="0" xfId="0" applyFill="1"/>
    <xf numFmtId="0" fontId="2" fillId="4" borderId="0" xfId="0" applyFont="1" applyFill="1"/>
    <xf numFmtId="0" fontId="0" fillId="4" borderId="0" xfId="0" applyFill="1"/>
    <xf numFmtId="0" fontId="2" fillId="5" borderId="0" xfId="0" applyFont="1" applyFill="1"/>
    <xf numFmtId="0" fontId="0" fillId="5" borderId="0" xfId="0" applyFill="1"/>
    <xf numFmtId="0" fontId="9" fillId="2" borderId="0" xfId="0" applyFont="1" applyFill="1"/>
    <xf numFmtId="0" fontId="9" fillId="5" borderId="0" xfId="0" applyFont="1" applyFill="1"/>
    <xf numFmtId="0" fontId="14" fillId="5" borderId="0" xfId="3" applyFill="1"/>
    <xf numFmtId="0" fontId="4" fillId="5" borderId="0" xfId="0" applyFont="1" applyFill="1"/>
    <xf numFmtId="0" fontId="4" fillId="0" borderId="0" xfId="0" applyFont="1"/>
    <xf numFmtId="164" fontId="9" fillId="0" borderId="0" xfId="0" applyNumberFormat="1" applyFont="1" applyAlignment="1">
      <alignment horizontal="center"/>
    </xf>
    <xf numFmtId="9" fontId="9" fillId="0" borderId="0" xfId="0" applyNumberFormat="1" applyFont="1" applyAlignment="1">
      <alignment horizontal="center"/>
    </xf>
    <xf numFmtId="0" fontId="0" fillId="0" borderId="0" xfId="0" applyAlignment="1">
      <alignment vertical="center"/>
    </xf>
    <xf numFmtId="0" fontId="3" fillId="0" borderId="3" xfId="4" applyFont="1" applyBorder="1"/>
    <xf numFmtId="0" fontId="4" fillId="0" borderId="3" xfId="4" applyFont="1" applyBorder="1"/>
    <xf numFmtId="0" fontId="4" fillId="0" borderId="0" xfId="4" applyFont="1"/>
    <xf numFmtId="0" fontId="18" fillId="7" borderId="0" xfId="0" applyFont="1" applyFill="1" applyAlignment="1">
      <alignment horizontal="right" indent="1"/>
    </xf>
    <xf numFmtId="0" fontId="4" fillId="0" borderId="0" xfId="4" applyFont="1" applyAlignment="1">
      <alignment horizontal="center"/>
    </xf>
    <xf numFmtId="167" fontId="4" fillId="0" borderId="0" xfId="4" applyNumberFormat="1" applyFont="1" applyAlignment="1">
      <alignment horizontal="right" indent="1"/>
    </xf>
    <xf numFmtId="0" fontId="18" fillId="6" borderId="0" xfId="4" applyFont="1" applyFill="1"/>
    <xf numFmtId="10" fontId="18" fillId="7" borderId="0" xfId="2" applyNumberFormat="1" applyFont="1" applyFill="1" applyAlignment="1">
      <alignment horizontal="right" indent="1"/>
    </xf>
    <xf numFmtId="0" fontId="4" fillId="0" borderId="0" xfId="0" applyFont="1" applyAlignment="1">
      <alignment horizontal="left"/>
    </xf>
    <xf numFmtId="167" fontId="4" fillId="0" borderId="0" xfId="4" applyNumberFormat="1" applyFont="1" applyAlignment="1">
      <alignment horizontal="right" indent="2"/>
    </xf>
    <xf numFmtId="0" fontId="4" fillId="0" borderId="0" xfId="4" applyFont="1" applyAlignment="1">
      <alignment horizontal="right" indent="1"/>
    </xf>
    <xf numFmtId="2" fontId="4" fillId="0" borderId="0" xfId="4" applyNumberFormat="1" applyFont="1" applyAlignment="1">
      <alignment horizontal="right" indent="1"/>
    </xf>
    <xf numFmtId="2" fontId="4" fillId="0" borderId="0" xfId="4" applyNumberFormat="1" applyFont="1" applyAlignment="1">
      <alignment horizontal="right" indent="2"/>
    </xf>
    <xf numFmtId="0" fontId="4" fillId="0" borderId="0" xfId="4" applyFont="1" applyAlignment="1"/>
    <xf numFmtId="0" fontId="4" fillId="0" borderId="0" xfId="4" applyFont="1" applyAlignment="1">
      <alignment horizontal="right" indent="2"/>
    </xf>
    <xf numFmtId="0" fontId="18" fillId="0" borderId="0" xfId="4" applyFont="1" applyAlignment="1">
      <alignment horizontal="right" indent="1"/>
    </xf>
    <xf numFmtId="168" fontId="18" fillId="0" borderId="0" xfId="4" applyNumberFormat="1" applyFont="1" applyAlignment="1">
      <alignment horizontal="right" indent="1"/>
    </xf>
    <xf numFmtId="167" fontId="18" fillId="0" borderId="0" xfId="4" applyNumberFormat="1" applyFont="1" applyAlignment="1">
      <alignment horizontal="right" indent="1"/>
    </xf>
    <xf numFmtId="3" fontId="4" fillId="0" borderId="0" xfId="4" applyNumberFormat="1" applyFont="1"/>
    <xf numFmtId="10" fontId="18" fillId="6" borderId="0" xfId="4" applyNumberFormat="1" applyFont="1" applyFill="1" applyAlignment="1">
      <alignment horizontal="right" indent="1"/>
    </xf>
    <xf numFmtId="0" fontId="19" fillId="6" borderId="0" xfId="0" applyFont="1" applyFill="1" applyBorder="1" applyProtection="1"/>
    <xf numFmtId="165" fontId="20" fillId="8" borderId="0" xfId="0" applyNumberFormat="1" applyFont="1" applyFill="1" applyBorder="1" applyAlignment="1" applyProtection="1"/>
    <xf numFmtId="164" fontId="20" fillId="8" borderId="0" xfId="0" applyNumberFormat="1" applyFont="1" applyFill="1" applyBorder="1" applyAlignment="1" applyProtection="1"/>
    <xf numFmtId="167" fontId="21" fillId="8" borderId="0" xfId="0" applyNumberFormat="1" applyFont="1" applyFill="1" applyBorder="1" applyAlignment="1" applyProtection="1"/>
    <xf numFmtId="0" fontId="19" fillId="6" borderId="6" xfId="0" applyFont="1" applyFill="1" applyBorder="1" applyProtection="1"/>
    <xf numFmtId="165" fontId="20" fillId="8" borderId="6" xfId="0" applyNumberFormat="1" applyFont="1" applyFill="1" applyBorder="1" applyAlignment="1" applyProtection="1"/>
    <xf numFmtId="164" fontId="20" fillId="8" borderId="6" xfId="0" applyNumberFormat="1" applyFont="1" applyFill="1" applyBorder="1" applyAlignment="1" applyProtection="1"/>
    <xf numFmtId="3" fontId="21" fillId="8" borderId="6" xfId="0" applyNumberFormat="1" applyFont="1" applyFill="1" applyBorder="1" applyAlignment="1" applyProtection="1"/>
    <xf numFmtId="3" fontId="21" fillId="8" borderId="0" xfId="0" applyNumberFormat="1" applyFont="1" applyFill="1" applyBorder="1" applyAlignment="1" applyProtection="1"/>
    <xf numFmtId="0" fontId="18" fillId="0" borderId="0" xfId="4" applyFont="1" applyFill="1"/>
    <xf numFmtId="0" fontId="9" fillId="0" borderId="0" xfId="4" applyFont="1"/>
    <xf numFmtId="0" fontId="4" fillId="9" borderId="0" xfId="4" applyFont="1" applyFill="1"/>
    <xf numFmtId="167" fontId="4" fillId="10" borderId="0" xfId="4" applyNumberFormat="1" applyFont="1" applyFill="1"/>
    <xf numFmtId="0" fontId="4" fillId="0" borderId="0" xfId="4" applyFont="1" applyAlignment="1">
      <alignment wrapText="1"/>
    </xf>
    <xf numFmtId="165" fontId="4" fillId="0" borderId="0" xfId="4" applyNumberFormat="1" applyFont="1"/>
    <xf numFmtId="166" fontId="4" fillId="0" borderId="0" xfId="4" applyNumberFormat="1" applyFont="1"/>
    <xf numFmtId="0" fontId="0" fillId="0" borderId="0" xfId="0" applyAlignment="1">
      <alignment horizontal="center"/>
    </xf>
    <xf numFmtId="44" fontId="0" fillId="0" borderId="1" xfId="0" applyNumberFormat="1" applyBorder="1"/>
    <xf numFmtId="164" fontId="4" fillId="0" borderId="0" xfId="0" applyNumberFormat="1" applyFont="1" applyAlignment="1">
      <alignment horizontal="center"/>
    </xf>
    <xf numFmtId="44" fontId="0" fillId="0" borderId="0" xfId="0" applyNumberFormat="1" applyBorder="1" applyAlignment="1">
      <alignment horizontal="center"/>
    </xf>
    <xf numFmtId="0" fontId="0" fillId="0" borderId="0" xfId="0" applyAlignment="1">
      <alignment wrapText="1"/>
    </xf>
    <xf numFmtId="44" fontId="0" fillId="0" borderId="0" xfId="0" applyNumberFormat="1" applyBorder="1" applyAlignment="1"/>
    <xf numFmtId="44" fontId="0" fillId="4" borderId="0" xfId="0" applyNumberFormat="1" applyFill="1"/>
    <xf numFmtId="10" fontId="0" fillId="0" borderId="0" xfId="0" applyNumberFormat="1"/>
    <xf numFmtId="0" fontId="0" fillId="0" borderId="0" xfId="0" applyAlignment="1">
      <alignment horizontal="right"/>
    </xf>
    <xf numFmtId="0" fontId="12" fillId="2" borderId="2" xfId="0" applyFont="1" applyFill="1" applyBorder="1" applyAlignment="1">
      <alignment horizontal="left" vertical="center" wrapText="1"/>
    </xf>
    <xf numFmtId="0" fontId="5" fillId="2" borderId="3" xfId="0" applyFont="1" applyFill="1" applyBorder="1" applyAlignment="1">
      <alignment horizontal="center"/>
    </xf>
    <xf numFmtId="166" fontId="0" fillId="0" borderId="0" xfId="0" applyNumberFormat="1"/>
    <xf numFmtId="0" fontId="0" fillId="2" borderId="2" xfId="0" applyFill="1" applyBorder="1" applyAlignment="1">
      <alignment horizontal="left"/>
    </xf>
    <xf numFmtId="0" fontId="2" fillId="12" borderId="0" xfId="0" applyFont="1" applyFill="1" applyBorder="1"/>
    <xf numFmtId="0" fontId="2" fillId="0" borderId="12" xfId="0" applyFont="1" applyBorder="1"/>
    <xf numFmtId="0" fontId="0" fillId="0" borderId="14" xfId="0" applyBorder="1"/>
    <xf numFmtId="0" fontId="0" fillId="0" borderId="15" xfId="0" applyBorder="1"/>
    <xf numFmtId="0" fontId="2" fillId="0" borderId="15" xfId="0" applyFont="1" applyBorder="1"/>
    <xf numFmtId="0" fontId="0" fillId="0" borderId="0" xfId="0" applyAlignment="1">
      <alignment horizontal="center"/>
    </xf>
    <xf numFmtId="0" fontId="0" fillId="0" borderId="0" xfId="0" applyFont="1" applyBorder="1" applyAlignment="1">
      <alignment horizontal="left" vertical="center" wrapText="1"/>
    </xf>
    <xf numFmtId="1" fontId="4" fillId="0" borderId="0" xfId="4" applyNumberFormat="1" applyFont="1"/>
    <xf numFmtId="42" fontId="0" fillId="0" borderId="0" xfId="0" applyNumberFormat="1"/>
    <xf numFmtId="0" fontId="2" fillId="0" borderId="1" xfId="0" applyFont="1" applyBorder="1" applyAlignment="1">
      <alignment horizontal="center" vertical="center" wrapText="1"/>
    </xf>
    <xf numFmtId="0" fontId="23" fillId="3" borderId="17" xfId="0" applyFont="1" applyFill="1" applyBorder="1" applyAlignment="1">
      <alignment horizontal="center"/>
    </xf>
    <xf numFmtId="0" fontId="23" fillId="3" borderId="7" xfId="0" applyFont="1" applyFill="1" applyBorder="1" applyAlignment="1">
      <alignment horizontal="center"/>
    </xf>
    <xf numFmtId="0" fontId="23" fillId="3" borderId="18" xfId="0" applyFont="1" applyFill="1" applyBorder="1" applyAlignment="1">
      <alignment horizontal="center"/>
    </xf>
    <xf numFmtId="0" fontId="0" fillId="0" borderId="19" xfId="0" applyBorder="1"/>
    <xf numFmtId="44" fontId="0" fillId="0" borderId="2" xfId="0" applyNumberFormat="1" applyBorder="1"/>
    <xf numFmtId="0" fontId="0" fillId="0" borderId="0" xfId="0" applyAlignment="1">
      <alignment horizontal="center"/>
    </xf>
    <xf numFmtId="0" fontId="0" fillId="0" borderId="0" xfId="0" applyAlignment="1">
      <alignment horizontal="right"/>
    </xf>
    <xf numFmtId="0" fontId="0" fillId="0" borderId="21" xfId="0" applyBorder="1"/>
    <xf numFmtId="0" fontId="0" fillId="0" borderId="21" xfId="0" applyBorder="1" applyAlignment="1">
      <alignment horizontal="right"/>
    </xf>
    <xf numFmtId="10" fontId="0" fillId="0" borderId="21" xfId="0" applyNumberFormat="1" applyBorder="1"/>
    <xf numFmtId="0" fontId="0" fillId="0" borderId="0" xfId="0" applyAlignment="1">
      <alignment horizontal="right"/>
    </xf>
    <xf numFmtId="0" fontId="0" fillId="14" borderId="0" xfId="0" applyFill="1"/>
    <xf numFmtId="166" fontId="0" fillId="14" borderId="0" xfId="0" applyNumberFormat="1" applyFill="1"/>
    <xf numFmtId="0" fontId="0" fillId="0" borderId="0" xfId="0" applyFont="1" applyAlignment="1">
      <alignment horizontal="left"/>
    </xf>
    <xf numFmtId="166" fontId="0" fillId="0" borderId="0" xfId="0" applyNumberFormat="1" applyFill="1"/>
    <xf numFmtId="0" fontId="0" fillId="15" borderId="0" xfId="0" applyFill="1"/>
    <xf numFmtId="10" fontId="0" fillId="15" borderId="0" xfId="0" applyNumberFormat="1" applyFill="1"/>
    <xf numFmtId="0" fontId="0" fillId="0" borderId="0" xfId="0" applyAlignment="1">
      <alignment horizontal="center"/>
    </xf>
    <xf numFmtId="0" fontId="12" fillId="2" borderId="2" xfId="0" applyFont="1" applyFill="1" applyBorder="1" applyAlignment="1">
      <alignment horizontal="left" vertical="center" wrapText="1"/>
    </xf>
    <xf numFmtId="0" fontId="5" fillId="2" borderId="3" xfId="0" applyFont="1" applyFill="1" applyBorder="1" applyAlignment="1">
      <alignment horizontal="center"/>
    </xf>
    <xf numFmtId="44" fontId="0" fillId="0" borderId="0" xfId="0" applyNumberFormat="1"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44" fontId="0" fillId="0" borderId="0" xfId="0" applyNumberFormat="1"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2" fillId="0" borderId="5" xfId="0" applyFont="1" applyBorder="1" applyAlignment="1">
      <alignment horizontal="center" vertical="center" wrapText="1"/>
    </xf>
    <xf numFmtId="0" fontId="0" fillId="16" borderId="0" xfId="0" applyFill="1"/>
    <xf numFmtId="10" fontId="9" fillId="0" borderId="0" xfId="0" applyNumberFormat="1" applyFont="1" applyAlignment="1">
      <alignment horizontal="center"/>
    </xf>
    <xf numFmtId="0" fontId="0" fillId="0" borderId="0" xfId="0" applyAlignment="1">
      <alignment horizontal="center"/>
    </xf>
    <xf numFmtId="0" fontId="0" fillId="0" borderId="0" xfId="0" applyAlignment="1">
      <alignment horizontal="center"/>
    </xf>
    <xf numFmtId="44" fontId="0" fillId="0" borderId="0" xfId="0" applyNumberFormat="1" applyFill="1"/>
    <xf numFmtId="44" fontId="0" fillId="16" borderId="0" xfId="0" applyNumberFormat="1" applyFill="1"/>
    <xf numFmtId="2" fontId="4" fillId="0" borderId="0" xfId="0" applyNumberFormat="1" applyFont="1"/>
    <xf numFmtId="44" fontId="9" fillId="2" borderId="0" xfId="1" applyFont="1" applyFill="1" applyAlignment="1" applyProtection="1">
      <alignment horizontal="center"/>
      <protection locked="0"/>
    </xf>
    <xf numFmtId="0" fontId="0" fillId="2" borderId="0" xfId="0" applyFill="1" applyProtection="1">
      <protection locked="0"/>
    </xf>
    <xf numFmtId="44" fontId="9" fillId="4" borderId="0" xfId="1" applyFont="1" applyFill="1" applyAlignment="1" applyProtection="1">
      <alignment horizontal="center"/>
      <protection locked="0"/>
    </xf>
    <xf numFmtId="0" fontId="0" fillId="4" borderId="0" xfId="0" applyFill="1" applyProtection="1">
      <protection locked="0"/>
    </xf>
    <xf numFmtId="0" fontId="0" fillId="0" borderId="0" xfId="0" applyProtection="1">
      <protection locked="0"/>
    </xf>
    <xf numFmtId="44" fontId="9" fillId="5" borderId="0" xfId="1" applyFont="1" applyFill="1" applyAlignment="1" applyProtection="1">
      <alignment horizontal="center"/>
      <protection locked="0"/>
    </xf>
    <xf numFmtId="0" fontId="14" fillId="2" borderId="0" xfId="3" applyFill="1" applyProtection="1">
      <protection locked="0"/>
    </xf>
    <xf numFmtId="44" fontId="14" fillId="2" borderId="0" xfId="3" applyNumberFormat="1" applyFill="1" applyAlignment="1" applyProtection="1">
      <alignment horizontal="center"/>
      <protection locked="0"/>
    </xf>
    <xf numFmtId="44" fontId="9" fillId="0" borderId="0" xfId="1" applyFont="1" applyFill="1" applyAlignment="1" applyProtection="1">
      <alignment horizontal="center"/>
      <protection locked="0"/>
    </xf>
    <xf numFmtId="0" fontId="14" fillId="0" borderId="0" xfId="3" applyProtection="1">
      <protection locked="0"/>
    </xf>
    <xf numFmtId="0" fontId="4" fillId="4" borderId="0" xfId="0" applyFont="1" applyFill="1" applyProtection="1">
      <protection locked="0"/>
    </xf>
    <xf numFmtId="10" fontId="0" fillId="0" borderId="0" xfId="0" applyNumberFormat="1" applyProtection="1">
      <protection locked="0"/>
    </xf>
    <xf numFmtId="3" fontId="9" fillId="0" borderId="0" xfId="0" applyNumberFormat="1" applyFont="1" applyAlignment="1" applyProtection="1">
      <alignment horizontal="center"/>
      <protection locked="0"/>
    </xf>
    <xf numFmtId="164" fontId="9" fillId="0" borderId="0" xfId="0" applyNumberFormat="1" applyFont="1" applyAlignment="1" applyProtection="1">
      <alignment horizontal="center"/>
      <protection locked="0"/>
    </xf>
    <xf numFmtId="9" fontId="9" fillId="0" borderId="0" xfId="0" applyNumberFormat="1" applyFont="1" applyAlignment="1" applyProtection="1">
      <alignment horizontal="center"/>
      <protection locked="0"/>
    </xf>
    <xf numFmtId="44" fontId="9" fillId="0" borderId="0" xfId="0" applyNumberFormat="1" applyFont="1" applyProtection="1">
      <protection locked="0"/>
    </xf>
    <xf numFmtId="44" fontId="9" fillId="0" borderId="0" xfId="1" applyFont="1" applyAlignment="1" applyProtection="1">
      <alignment horizontal="center"/>
      <protection locked="0"/>
    </xf>
    <xf numFmtId="1" fontId="9" fillId="0" borderId="0" xfId="0" applyNumberFormat="1" applyFont="1" applyAlignment="1" applyProtection="1">
      <alignment horizontal="center"/>
      <protection locked="0"/>
    </xf>
    <xf numFmtId="44" fontId="24" fillId="0" borderId="0" xfId="1" applyNumberFormat="1" applyFont="1" applyAlignment="1" applyProtection="1">
      <alignment horizontal="center"/>
      <protection locked="0"/>
    </xf>
    <xf numFmtId="167" fontId="9" fillId="0" borderId="0" xfId="0" applyNumberFormat="1" applyFont="1" applyAlignment="1" applyProtection="1">
      <alignment horizontal="center"/>
      <protection locked="0"/>
    </xf>
    <xf numFmtId="44" fontId="9" fillId="0" borderId="0" xfId="1" applyFont="1" applyBorder="1" applyAlignment="1" applyProtection="1">
      <alignment horizontal="center"/>
      <protection locked="0"/>
    </xf>
    <xf numFmtId="10" fontId="9" fillId="0" borderId="0" xfId="0" applyNumberFormat="1" applyFont="1" applyAlignment="1" applyProtection="1">
      <alignment horizontal="center"/>
      <protection locked="0"/>
    </xf>
    <xf numFmtId="44" fontId="9" fillId="0" borderId="0" xfId="0" applyNumberFormat="1" applyFont="1" applyBorder="1" applyProtection="1">
      <protection locked="0"/>
    </xf>
    <xf numFmtId="44" fontId="9" fillId="5" borderId="0" xfId="1" applyFont="1" applyFill="1" applyAlignment="1">
      <alignment horizontal="center"/>
    </xf>
    <xf numFmtId="169" fontId="0" fillId="0" borderId="0" xfId="0" applyNumberFormat="1"/>
    <xf numFmtId="0" fontId="9" fillId="4" borderId="0" xfId="0" applyFont="1" applyFill="1"/>
    <xf numFmtId="0" fontId="17" fillId="0" borderId="0" xfId="5" applyProtection="1"/>
    <xf numFmtId="0" fontId="26" fillId="11" borderId="22" xfId="5" applyFont="1" applyFill="1" applyBorder="1" applyProtection="1"/>
    <xf numFmtId="0" fontId="26" fillId="11" borderId="23" xfId="5" applyFont="1" applyFill="1" applyBorder="1" applyProtection="1"/>
    <xf numFmtId="0" fontId="26" fillId="11" borderId="24" xfId="5" applyFont="1" applyFill="1" applyBorder="1" applyProtection="1"/>
    <xf numFmtId="0" fontId="27" fillId="11" borderId="25" xfId="5" applyFont="1" applyFill="1" applyBorder="1" applyAlignment="1" applyProtection="1"/>
    <xf numFmtId="0" fontId="28" fillId="11" borderId="0" xfId="5" applyFont="1" applyFill="1" applyAlignment="1" applyProtection="1"/>
    <xf numFmtId="0" fontId="29" fillId="11" borderId="0" xfId="5" applyFont="1" applyFill="1" applyBorder="1" applyProtection="1"/>
    <xf numFmtId="0" fontId="26" fillId="11" borderId="0" xfId="5" applyFont="1" applyFill="1" applyBorder="1" applyProtection="1"/>
    <xf numFmtId="0" fontId="26" fillId="11" borderId="26" xfId="5" applyFont="1" applyFill="1" applyBorder="1" applyProtection="1"/>
    <xf numFmtId="0" fontId="29" fillId="11" borderId="25" xfId="5" applyFont="1" applyFill="1" applyBorder="1" applyProtection="1"/>
    <xf numFmtId="0" fontId="30" fillId="11" borderId="0" xfId="5" applyFont="1" applyFill="1" applyBorder="1" applyAlignment="1" applyProtection="1">
      <alignment horizontal="left"/>
    </xf>
    <xf numFmtId="0" fontId="31" fillId="11" borderId="0" xfId="5" applyFont="1" applyFill="1" applyAlignment="1" applyProtection="1">
      <alignment horizontal="left"/>
    </xf>
    <xf numFmtId="0" fontId="32" fillId="11" borderId="0" xfId="5" applyFont="1" applyFill="1" applyAlignment="1" applyProtection="1"/>
    <xf numFmtId="0" fontId="26" fillId="11" borderId="25" xfId="5" applyFont="1" applyFill="1" applyBorder="1" applyAlignment="1" applyProtection="1">
      <alignment horizontal="center"/>
    </xf>
    <xf numFmtId="0" fontId="36" fillId="11" borderId="0" xfId="5" applyFont="1" applyFill="1" applyAlignment="1" applyProtection="1">
      <alignment wrapText="1"/>
    </xf>
    <xf numFmtId="0" fontId="37" fillId="11" borderId="0" xfId="5" applyFont="1" applyFill="1" applyBorder="1" applyProtection="1"/>
    <xf numFmtId="0" fontId="38" fillId="11" borderId="26" xfId="5" applyFont="1" applyFill="1" applyBorder="1" applyProtection="1"/>
    <xf numFmtId="0" fontId="26" fillId="11" borderId="27" xfId="5" applyFont="1" applyFill="1" applyBorder="1" applyProtection="1"/>
    <xf numFmtId="0" fontId="26" fillId="11" borderId="3" xfId="5" applyFont="1" applyFill="1" applyBorder="1" applyProtection="1"/>
    <xf numFmtId="0" fontId="37" fillId="11" borderId="3" xfId="5" applyFont="1" applyFill="1" applyBorder="1" applyProtection="1"/>
    <xf numFmtId="0" fontId="39" fillId="11" borderId="28" xfId="5" applyFont="1" applyFill="1" applyBorder="1" applyAlignment="1" applyProtection="1">
      <alignment horizontal="right"/>
    </xf>
    <xf numFmtId="0" fontId="41" fillId="0" borderId="0" xfId="5" applyFont="1" applyProtection="1"/>
    <xf numFmtId="0" fontId="41" fillId="0" borderId="0" xfId="5" applyFont="1" applyFill="1" applyBorder="1" applyProtection="1"/>
    <xf numFmtId="0" fontId="42" fillId="0" borderId="0" xfId="5" applyFont="1" applyAlignment="1" applyProtection="1"/>
    <xf numFmtId="0" fontId="19" fillId="0" borderId="0" xfId="5" applyFont="1" applyAlignment="1" applyProtection="1"/>
    <xf numFmtId="0" fontId="19" fillId="0" borderId="0" xfId="5" applyFont="1" applyProtection="1"/>
    <xf numFmtId="0" fontId="43" fillId="0" borderId="0" xfId="5" applyFont="1" applyProtection="1"/>
    <xf numFmtId="0" fontId="43" fillId="0" borderId="0" xfId="5" applyFont="1" applyFill="1" applyProtection="1"/>
    <xf numFmtId="0" fontId="43" fillId="0" borderId="0" xfId="5" applyFont="1" applyAlignment="1" applyProtection="1">
      <alignment vertical="center" wrapText="1"/>
    </xf>
    <xf numFmtId="0" fontId="19" fillId="0" borderId="0" xfId="5" applyFont="1" applyAlignment="1" applyProtection="1">
      <alignment wrapText="1"/>
    </xf>
    <xf numFmtId="0" fontId="42" fillId="0" borderId="0" xfId="5" applyFont="1" applyProtection="1"/>
    <xf numFmtId="0" fontId="19" fillId="0" borderId="0" xfId="5" applyFont="1" applyAlignment="1" applyProtection="1">
      <alignment horizontal="center"/>
    </xf>
    <xf numFmtId="0" fontId="45" fillId="0" borderId="0" xfId="5" applyFont="1" applyProtection="1"/>
    <xf numFmtId="0" fontId="47" fillId="0" borderId="0" xfId="6" applyFont="1" applyAlignment="1" applyProtection="1"/>
    <xf numFmtId="0" fontId="47" fillId="0" borderId="0" xfId="7" applyFont="1" applyAlignment="1" applyProtection="1"/>
    <xf numFmtId="0" fontId="19" fillId="0" borderId="0" xfId="5" applyFont="1" applyFill="1" applyAlignment="1" applyProtection="1"/>
    <xf numFmtId="0" fontId="19" fillId="0" borderId="0" xfId="6" applyFont="1" applyFill="1" applyAlignment="1" applyProtection="1"/>
    <xf numFmtId="0" fontId="43" fillId="0" borderId="0" xfId="5" applyFont="1" applyAlignment="1" applyProtection="1">
      <alignment horizontal="left" wrapText="1"/>
    </xf>
    <xf numFmtId="0" fontId="43" fillId="0" borderId="0" xfId="5" applyFont="1" applyAlignment="1" applyProtection="1">
      <alignment horizontal="left" wrapText="1"/>
    </xf>
    <xf numFmtId="0" fontId="29" fillId="11" borderId="25" xfId="5" applyFont="1" applyFill="1" applyBorder="1" applyAlignment="1" applyProtection="1">
      <alignment horizontal="left" wrapText="1"/>
    </xf>
    <xf numFmtId="0" fontId="33" fillId="11" borderId="0" xfId="5" applyFont="1" applyFill="1" applyAlignment="1" applyProtection="1">
      <alignment wrapText="1"/>
    </xf>
    <xf numFmtId="0" fontId="33" fillId="11" borderId="25" xfId="5" applyFont="1" applyFill="1" applyBorder="1" applyAlignment="1" applyProtection="1">
      <alignment wrapText="1"/>
    </xf>
    <xf numFmtId="0" fontId="34" fillId="0" borderId="0" xfId="5" applyFont="1" applyAlignment="1" applyProtection="1">
      <alignment wrapText="1"/>
    </xf>
    <xf numFmtId="0" fontId="35" fillId="0" borderId="0" xfId="5" applyFont="1" applyAlignment="1" applyProtection="1">
      <alignment wrapText="1"/>
    </xf>
    <xf numFmtId="0" fontId="39" fillId="11" borderId="3" xfId="5" applyFont="1" applyFill="1" applyBorder="1" applyAlignment="1" applyProtection="1">
      <alignment horizontal="right"/>
    </xf>
    <xf numFmtId="0" fontId="36" fillId="11" borderId="3" xfId="5" applyFont="1" applyFill="1" applyBorder="1" applyAlignment="1" applyProtection="1">
      <alignment horizontal="right"/>
    </xf>
    <xf numFmtId="14" fontId="39" fillId="11" borderId="3" xfId="5" applyNumberFormat="1" applyFont="1" applyFill="1" applyBorder="1" applyAlignment="1" applyProtection="1">
      <alignment horizontal="left"/>
    </xf>
    <xf numFmtId="0" fontId="36" fillId="11" borderId="3" xfId="5" applyFont="1" applyFill="1" applyBorder="1" applyAlignment="1" applyProtection="1">
      <alignment horizontal="left"/>
    </xf>
    <xf numFmtId="0" fontId="40" fillId="0" borderId="0" xfId="5" applyFont="1" applyProtection="1"/>
    <xf numFmtId="0" fontId="19" fillId="0" borderId="0" xfId="5" applyFont="1" applyAlignment="1" applyProtection="1">
      <alignment horizontal="left" vertical="top" wrapText="1"/>
    </xf>
    <xf numFmtId="0" fontId="42" fillId="0" borderId="0" xfId="5" applyFont="1" applyAlignment="1" applyProtection="1"/>
    <xf numFmtId="0" fontId="19" fillId="0" borderId="0" xfId="5" applyFont="1" applyAlignment="1" applyProtection="1"/>
    <xf numFmtId="0" fontId="19" fillId="0" borderId="0" xfId="5" applyFont="1" applyAlignment="1" applyProtection="1">
      <alignment horizontal="left" wrapText="1"/>
    </xf>
    <xf numFmtId="0" fontId="19" fillId="0" borderId="0" xfId="5" applyFont="1" applyAlignment="1" applyProtection="1">
      <alignment horizontal="left" vertical="center" wrapText="1"/>
    </xf>
    <xf numFmtId="0" fontId="46" fillId="0" borderId="0" xfId="6" applyAlignment="1" applyProtection="1"/>
    <xf numFmtId="0" fontId="47" fillId="0" borderId="0" xfId="7" applyFont="1" applyAlignment="1" applyProtection="1"/>
    <xf numFmtId="0" fontId="12" fillId="2" borderId="1" xfId="0" applyFont="1" applyFill="1" applyBorder="1" applyAlignment="1">
      <alignment horizontal="center"/>
    </xf>
    <xf numFmtId="0" fontId="22" fillId="13" borderId="0" xfId="0" applyFont="1" applyFill="1" applyAlignment="1">
      <alignment horizontal="center"/>
    </xf>
    <xf numFmtId="0" fontId="0" fillId="0" borderId="0" xfId="0" applyAlignment="1">
      <alignment horizontal="center"/>
    </xf>
    <xf numFmtId="0" fontId="0" fillId="0" borderId="0" xfId="0" applyAlignment="1">
      <alignment horizontal="right"/>
    </xf>
    <xf numFmtId="0" fontId="12" fillId="2" borderId="2" xfId="0" applyFont="1" applyFill="1" applyBorder="1" applyAlignment="1">
      <alignment horizontal="left" vertical="center" wrapText="1"/>
    </xf>
    <xf numFmtId="0" fontId="0" fillId="0" borderId="2" xfId="0" applyBorder="1" applyAlignment="1">
      <alignment horizontal="left"/>
    </xf>
    <xf numFmtId="0" fontId="5" fillId="2" borderId="3" xfId="0" applyFont="1" applyFill="1" applyBorder="1" applyAlignment="1">
      <alignment horizontal="center"/>
    </xf>
    <xf numFmtId="0" fontId="5" fillId="2" borderId="1" xfId="0" applyFont="1" applyFill="1" applyBorder="1" applyAlignment="1">
      <alignment horizontal="center" vertical="center" wrapText="1"/>
    </xf>
    <xf numFmtId="0" fontId="5" fillId="2" borderId="1" xfId="0" applyFont="1" applyFill="1" applyBorder="1" applyAlignment="1" applyProtection="1">
      <alignment horizontal="right" vertical="center" wrapText="1"/>
      <protection locked="0"/>
    </xf>
    <xf numFmtId="0" fontId="5" fillId="2" borderId="1" xfId="0" applyFont="1" applyFill="1" applyBorder="1" applyAlignment="1">
      <alignment horizontal="left" vertical="center" wrapText="1"/>
    </xf>
    <xf numFmtId="44" fontId="0" fillId="0" borderId="2" xfId="0" applyNumberFormat="1" applyBorder="1" applyAlignment="1">
      <alignment horizontal="center"/>
    </xf>
    <xf numFmtId="0" fontId="0" fillId="0" borderId="2" xfId="0" applyBorder="1" applyAlignment="1">
      <alignment horizontal="center"/>
    </xf>
    <xf numFmtId="44" fontId="0" fillId="0" borderId="0" xfId="0" applyNumberFormat="1" applyBorder="1" applyAlignment="1">
      <alignment horizontal="center"/>
    </xf>
    <xf numFmtId="0" fontId="0" fillId="0" borderId="0" xfId="0" applyBorder="1" applyAlignment="1">
      <alignment horizontal="center"/>
    </xf>
    <xf numFmtId="0" fontId="0" fillId="0" borderId="8" xfId="0" applyBorder="1" applyAlignment="1">
      <alignment horizontal="center"/>
    </xf>
    <xf numFmtId="44" fontId="0" fillId="0" borderId="1" xfId="0" applyNumberFormat="1" applyBorder="1" applyAlignment="1">
      <alignment horizontal="center"/>
    </xf>
    <xf numFmtId="0" fontId="0" fillId="0" borderId="1" xfId="0" applyBorder="1" applyAlignment="1">
      <alignment horizontal="center"/>
    </xf>
    <xf numFmtId="0" fontId="0" fillId="0" borderId="16" xfId="0" applyBorder="1" applyAlignment="1">
      <alignment horizontal="center"/>
    </xf>
    <xf numFmtId="0" fontId="5" fillId="2" borderId="3" xfId="0" applyFont="1" applyFill="1" applyBorder="1" applyAlignment="1">
      <alignment horizontal="left" vertical="center" wrapText="1"/>
    </xf>
    <xf numFmtId="0" fontId="0" fillId="0" borderId="20" xfId="0" applyBorder="1" applyAlignment="1">
      <alignment horizontal="center"/>
    </xf>
    <xf numFmtId="3" fontId="4" fillId="0" borderId="0" xfId="0" applyNumberFormat="1" applyFont="1" applyBorder="1" applyAlignment="1">
      <alignment horizontal="center"/>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0" fillId="0" borderId="0" xfId="0" applyAlignment="1">
      <alignment horizontal="center" vertical="center"/>
    </xf>
    <xf numFmtId="44" fontId="0" fillId="0" borderId="8" xfId="0" applyNumberFormat="1" applyBorder="1" applyAlignment="1">
      <alignment horizontal="center"/>
    </xf>
    <xf numFmtId="44" fontId="0" fillId="0" borderId="20" xfId="0" applyNumberFormat="1" applyBorder="1" applyAlignment="1">
      <alignment horizontal="center"/>
    </xf>
    <xf numFmtId="0" fontId="0" fillId="0" borderId="3" xfId="0" applyBorder="1" applyAlignment="1">
      <alignment horizontal="left" vertical="center" wrapText="1"/>
    </xf>
    <xf numFmtId="0" fontId="5" fillId="2" borderId="3" xfId="0" applyFont="1" applyFill="1" applyBorder="1" applyAlignment="1">
      <alignment horizontal="right"/>
    </xf>
    <xf numFmtId="0" fontId="23" fillId="3" borderId="9" xfId="0" applyFont="1" applyFill="1" applyBorder="1" applyAlignment="1">
      <alignment horizontal="center"/>
    </xf>
    <xf numFmtId="0" fontId="23" fillId="3" borderId="10" xfId="0" applyFont="1" applyFill="1" applyBorder="1" applyAlignment="1">
      <alignment horizontal="center"/>
    </xf>
    <xf numFmtId="0" fontId="23" fillId="3" borderId="11" xfId="0" applyFont="1" applyFill="1" applyBorder="1" applyAlignment="1">
      <alignment horizont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4" fillId="0" borderId="0" xfId="4" applyFont="1" applyAlignment="1">
      <alignment horizontal="center"/>
    </xf>
  </cellXfs>
  <cellStyles count="8">
    <cellStyle name="Currency" xfId="1" builtinId="4"/>
    <cellStyle name="Hyperlink" xfId="3" builtinId="8"/>
    <cellStyle name="Hyperlink 2" xfId="7"/>
    <cellStyle name="Hyperlink_K-State Vegetative Buffer" xfId="6"/>
    <cellStyle name="Normal" xfId="0" builtinId="0"/>
    <cellStyle name="Normal 2" xfId="5"/>
    <cellStyle name="Normal_manure nutrients"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e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176007</xdr:colOff>
      <xdr:row>47</xdr:row>
      <xdr:rowOff>115534</xdr:rowOff>
    </xdr:from>
    <xdr:to>
      <xdr:col>5</xdr:col>
      <xdr:colOff>352012</xdr:colOff>
      <xdr:row>51</xdr:row>
      <xdr:rowOff>51765</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007" y="8688034"/>
          <a:ext cx="2843005" cy="622031"/>
        </a:xfrm>
        <a:prstGeom prst="rect">
          <a:avLst/>
        </a:prstGeom>
      </xdr:spPr>
    </xdr:pic>
    <xdr:clientData/>
  </xdr:twoCellAnchor>
  <xdr:twoCellAnchor editAs="oneCell">
    <xdr:from>
      <xdr:col>1</xdr:col>
      <xdr:colOff>0</xdr:colOff>
      <xdr:row>8</xdr:row>
      <xdr:rowOff>10353</xdr:rowOff>
    </xdr:from>
    <xdr:to>
      <xdr:col>12</xdr:col>
      <xdr:colOff>2468</xdr:colOff>
      <xdr:row>25</xdr:row>
      <xdr:rowOff>144946</xdr:rowOff>
    </xdr:to>
    <xdr:pic>
      <xdr:nvPicPr>
        <xdr:cNvPr id="5" name="Picture 4"/>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71" t="7068" r="-271" b="39253"/>
        <a:stretch/>
      </xdr:blipFill>
      <xdr:spPr>
        <a:xfrm>
          <a:off x="238125" y="1439103"/>
          <a:ext cx="7641518" cy="2849218"/>
        </a:xfrm>
        <a:prstGeom prst="rect">
          <a:avLst/>
        </a:prstGeom>
        <a:solidFill>
          <a:schemeClr val="accent1">
            <a:lumMod val="40000"/>
            <a:lumOff val="60000"/>
          </a:schemeClr>
        </a:solidFill>
        <a:ln>
          <a:solidFill>
            <a:sysClr val="windowText" lastClr="000000"/>
          </a:solidFill>
        </a:ln>
      </xdr:spPr>
    </xdr:pic>
    <xdr:clientData/>
  </xdr:twoCellAnchor>
  <xdr:twoCellAnchor editAs="oneCell">
    <xdr:from>
      <xdr:col>9</xdr:col>
      <xdr:colOff>424483</xdr:colOff>
      <xdr:row>22</xdr:row>
      <xdr:rowOff>103533</xdr:rowOff>
    </xdr:from>
    <xdr:to>
      <xdr:col>11</xdr:col>
      <xdr:colOff>1542635</xdr:colOff>
      <xdr:row>25</xdr:row>
      <xdr:rowOff>124239</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61133"/>
          <a:ext cx="2337352" cy="506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49</xdr:row>
      <xdr:rowOff>19049</xdr:rowOff>
    </xdr:from>
    <xdr:to>
      <xdr:col>3</xdr:col>
      <xdr:colOff>13335</xdr:colOff>
      <xdr:row>91</xdr:row>
      <xdr:rowOff>1343025</xdr:rowOff>
    </xdr:to>
    <xdr:sp macro="" textlink="">
      <xdr:nvSpPr>
        <xdr:cNvPr id="2" name="TextBox 1"/>
        <xdr:cNvSpPr txBox="1"/>
      </xdr:nvSpPr>
      <xdr:spPr>
        <a:xfrm>
          <a:off x="19050" y="10315574"/>
          <a:ext cx="3794760" cy="9324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365760" algn="l"/>
            </a:tabLst>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The format for these livestock budgets allows the user to change certain key inputs to cater the budget to their production situation.  Environmental factors, management, operation size, local cash prices, and a variety of other situations makes budgeting to the entire state of Kansas difficult.  While defaults in the spreadsheet are research-based estimates,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input and output prices populate each budget without reference to any specific time period or specific production period.  Users are encouraged to update prices to best reflect their specific situation.</a:t>
          </a:r>
          <a:endParaRPr lang="en-US" sz="1100" baseline="0"/>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aseline="0"/>
            <a:t>	Three different sets of price forecasts are available in the spreadsheet.  By clicking the dropdown menu at the top of the budget, a user can select "Current Prices", "One Year Out Prices", or "Five Year Out Prices".  All price assumptions can be viewed in the </a:t>
          </a:r>
          <a:r>
            <a:rPr lang="en-US" sz="1100" i="1" baseline="0"/>
            <a:t>Prices </a:t>
          </a:r>
          <a:r>
            <a:rPr lang="en-US" sz="1100" baseline="0"/>
            <a:t>tab and be adjusted according to the user's own expectations and local market conditions.  Only default milk, cattle, and feed prices differ when looking at different time horizons.  Other costs will remain fixed.</a:t>
          </a:r>
        </a:p>
        <a:p>
          <a:pPr eaLnBrk="1" fontAlgn="auto" latinLnBrk="0" hangingPunct="1">
            <a:tabLst>
              <a:tab pos="457200" algn="l"/>
            </a:tabLst>
          </a:pPr>
          <a:r>
            <a:rPr lang="en-US" sz="1100" baseline="0"/>
            <a:t>	The source of default estimates are noted in the explanations to follow, but most of the production costs are taken from The Center for Farm Financial Management "FINBIN" database (www.finbin.umn.edu).  </a:t>
          </a:r>
          <a:r>
            <a:rPr lang="en-US" sz="1100" baseline="0">
              <a:solidFill>
                <a:schemeClr val="dk1"/>
              </a:solidFill>
              <a:effectLst/>
              <a:latin typeface="+mn-lt"/>
              <a:ea typeface="+mn-ea"/>
              <a:cs typeface="+mn-cs"/>
            </a:rPr>
            <a:t>Values for the previous 15 years are regressed to predict a current year value using a time trend, also smoothing out year-to-year variation.  Values that did not display a time trend were computed as an average over this time period.   </a:t>
          </a:r>
          <a:endParaRPr lang="en-US">
            <a:effectLst/>
          </a:endParaRPr>
        </a:p>
        <a:p>
          <a:pPr>
            <a:tabLst>
              <a:tab pos="365760" algn="l"/>
            </a:tabLst>
          </a:pPr>
          <a:r>
            <a:rPr lang="en-US" sz="1100" baseline="0"/>
            <a:t>	This budget assumes all calves are sold when they are less than a week old and the operation purchases all replacement heifers.  This way the milk cow and replacement heifer enterprises can be evaluated separately.  See the "Cow Milking-Raised Replacement budget" or "Replacement Heifer" budget to evaluate raising replacement heifers. </a:t>
          </a:r>
        </a:p>
        <a:p>
          <a:pPr>
            <a:tabLst>
              <a:tab pos="365760" algn="l"/>
            </a:tabLst>
          </a:pPr>
          <a:endParaRPr lang="en-US" sz="700" baseline="0"/>
        </a:p>
        <a:p>
          <a:pPr>
            <a:tabLst>
              <a:tab pos="365760" algn="l"/>
            </a:tabLst>
          </a:pPr>
          <a:r>
            <a:rPr lang="en-US" sz="1100" u="sng" baseline="0"/>
            <a:t>Production Efficiency Measures</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Milk Produced Per Cow: </a:t>
          </a:r>
          <a:r>
            <a:rPr lang="en-US" sz="1100" b="0" baseline="0">
              <a:solidFill>
                <a:schemeClr val="dk1"/>
              </a:solidFill>
              <a:effectLst/>
              <a:latin typeface="+mn-lt"/>
              <a:ea typeface="+mn-ea"/>
              <a:cs typeface="+mn-cs"/>
            </a:rPr>
            <a:t>Average pounds of milk per cow per year.  This has a HUGE effect on ending profitability, so should be adjusted to fit the operation.  Default is roughly the FINBIN cow average and Kansas Farm Management Association (KFMA) dairy farm enterprise average.</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Replacement Heifer Purchases: </a:t>
          </a:r>
          <a:r>
            <a:rPr lang="en-US" sz="1100" b="0" baseline="0">
              <a:solidFill>
                <a:schemeClr val="dk1"/>
              </a:solidFill>
              <a:effectLst/>
              <a:latin typeface="+mn-lt"/>
              <a:ea typeface="+mn-ea"/>
              <a:cs typeface="+mn-cs"/>
            </a:rPr>
            <a:t>Amount of heifers purchased in relationship to the entire herd, listed as a percent.  FINBIN typically displays a 34% turnover rate.</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Cull Cow Sales: </a:t>
          </a:r>
          <a:r>
            <a:rPr lang="en-US" sz="1100" b="0" baseline="0">
              <a:solidFill>
                <a:schemeClr val="dk1"/>
              </a:solidFill>
              <a:effectLst/>
              <a:latin typeface="+mn-lt"/>
              <a:ea typeface="+mn-ea"/>
              <a:cs typeface="+mn-cs"/>
            </a:rPr>
            <a:t>Will be different then percentage of heifers purchased to account for death loss or those cows with no salvage value.  FINBIN farms average 7% cow death loss.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Calves Sold: </a:t>
          </a:r>
          <a:r>
            <a:rPr lang="en-US" sz="1100" b="0" baseline="0">
              <a:solidFill>
                <a:schemeClr val="dk1"/>
              </a:solidFill>
              <a:effectLst/>
              <a:latin typeface="+mn-lt"/>
              <a:ea typeface="+mn-ea"/>
              <a:cs typeface="+mn-cs"/>
            </a:rPr>
            <a:t>Percentage of live, marketable calves.  Note that this budget assumes you sell all calves soon after birth (minus death loss) and purchase all replacement heifers.  </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800"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800" i="1">
              <a:solidFill>
                <a:schemeClr val="dk1"/>
              </a:solidFill>
              <a:effectLst/>
              <a:latin typeface="+mn-lt"/>
              <a:ea typeface="+mn-ea"/>
              <a:cs typeface="+mn-cs"/>
            </a:rPr>
            <a:t>*Note:</a:t>
          </a:r>
          <a:r>
            <a:rPr lang="en-US" sz="800" i="1" baseline="0">
              <a:solidFill>
                <a:schemeClr val="dk1"/>
              </a:solidFill>
              <a:effectLst/>
              <a:latin typeface="+mn-lt"/>
              <a:ea typeface="+mn-ea"/>
              <a:cs typeface="+mn-cs"/>
            </a:rPr>
            <a:t> FINBIN defaults are based on an average of 564 farms with a current average herd size of 186 cows (milking and dry) and average milk per cow of 23,840 pounds</a:t>
          </a:r>
          <a:endParaRPr lang="en-US" sz="500">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a:effectLst/>
          </a:endParaRPr>
        </a:p>
        <a:p>
          <a:pPr>
            <a:tabLst>
              <a:tab pos="365760" algn="l"/>
            </a:tabLst>
          </a:pPr>
          <a:endParaRPr lang="en-US" sz="1100" b="1" baseline="0"/>
        </a:p>
      </xdr:txBody>
    </xdr:sp>
    <xdr:clientData/>
  </xdr:twoCellAnchor>
  <xdr:twoCellAnchor>
    <xdr:from>
      <xdr:col>3</xdr:col>
      <xdr:colOff>9524</xdr:colOff>
      <xdr:row>49</xdr:row>
      <xdr:rowOff>28573</xdr:rowOff>
    </xdr:from>
    <xdr:to>
      <xdr:col>11</xdr:col>
      <xdr:colOff>3809</xdr:colOff>
      <xdr:row>91</xdr:row>
      <xdr:rowOff>1419225</xdr:rowOff>
    </xdr:to>
    <xdr:sp macro="" textlink="">
      <xdr:nvSpPr>
        <xdr:cNvPr id="3" name="TextBox 2"/>
        <xdr:cNvSpPr txBox="1"/>
      </xdr:nvSpPr>
      <xdr:spPr>
        <a:xfrm>
          <a:off x="3809999" y="10325098"/>
          <a:ext cx="3794760" cy="93916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Returns</a:t>
          </a:r>
          <a:endParaRPr lang="en-US">
            <a:effectLst/>
          </a:endParaRPr>
        </a:p>
        <a:p>
          <a:pPr eaLnBrk="1" fontAlgn="auto" latinLnBrk="0" hangingPunct="1"/>
          <a:r>
            <a:rPr lang="en-US" sz="1100" b="1" baseline="0">
              <a:solidFill>
                <a:schemeClr val="dk1"/>
              </a:solidFill>
              <a:effectLst/>
              <a:latin typeface="+mn-lt"/>
              <a:ea typeface="+mn-ea"/>
              <a:cs typeface="+mn-cs"/>
            </a:rPr>
            <a:t>Milk Sales: </a:t>
          </a:r>
          <a:r>
            <a:rPr lang="en-US" sz="1100" b="0" baseline="0">
              <a:solidFill>
                <a:schemeClr val="dk1"/>
              </a:solidFill>
              <a:effectLst/>
              <a:latin typeface="+mn-lt"/>
              <a:ea typeface="+mn-ea"/>
              <a:cs typeface="+mn-cs"/>
            </a:rPr>
            <a:t>Milk produced per cow multiplied by milk price.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Milk Premiums: </a:t>
          </a:r>
          <a:r>
            <a:rPr lang="en-US" sz="1100" b="0" baseline="0">
              <a:solidFill>
                <a:schemeClr val="dk1"/>
              </a:solidFill>
              <a:effectLst/>
              <a:latin typeface="+mn-lt"/>
              <a:ea typeface="+mn-ea"/>
              <a:cs typeface="+mn-cs"/>
            </a:rPr>
            <a:t>Enter any volume, quality, or other premiums to be applied to pounds of milk produced not already captured in milk sales.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Calves Sold: </a:t>
          </a:r>
          <a:r>
            <a:rPr lang="en-US" sz="1100" b="0" baseline="0">
              <a:solidFill>
                <a:schemeClr val="dk1"/>
              </a:solidFill>
              <a:effectLst/>
              <a:latin typeface="+mn-lt"/>
              <a:ea typeface="+mn-ea"/>
              <a:cs typeface="+mn-cs"/>
            </a:rPr>
            <a:t>Price based on 50% bull calf and 50% heifer calf price, adjusted for death loss.</a:t>
          </a:r>
          <a:endParaRPr lang="en-US">
            <a:effectLst/>
          </a:endParaRPr>
        </a:p>
        <a:p>
          <a:pPr eaLnBrk="1" fontAlgn="auto" latinLnBrk="0" hangingPunct="1"/>
          <a:r>
            <a:rPr lang="en-US" sz="1100" b="1" baseline="0">
              <a:solidFill>
                <a:schemeClr val="dk1"/>
              </a:solidFill>
              <a:effectLst/>
              <a:latin typeface="+mn-lt"/>
              <a:ea typeface="+mn-ea"/>
              <a:cs typeface="+mn-cs"/>
            </a:rPr>
            <a:t>Cull Cows Sold: </a:t>
          </a:r>
          <a:r>
            <a:rPr lang="en-US" sz="1100" b="0" baseline="0">
              <a:solidFill>
                <a:schemeClr val="dk1"/>
              </a:solidFill>
              <a:effectLst/>
              <a:latin typeface="+mn-lt"/>
              <a:ea typeface="+mn-ea"/>
              <a:cs typeface="+mn-cs"/>
            </a:rPr>
            <a:t>Enter average cull cow weight to be multiplied by price and sales percentage.</a:t>
          </a:r>
          <a:endParaRPr lang="en-US">
            <a:effectLst/>
          </a:endParaRPr>
        </a:p>
        <a:p>
          <a:pPr eaLnBrk="1" fontAlgn="auto" latinLnBrk="0" hangingPunct="1"/>
          <a:r>
            <a:rPr lang="en-US" sz="1100" b="1" baseline="0">
              <a:solidFill>
                <a:schemeClr val="dk1"/>
              </a:solidFill>
              <a:effectLst/>
              <a:latin typeface="+mn-lt"/>
              <a:ea typeface="+mn-ea"/>
              <a:cs typeface="+mn-cs"/>
            </a:rPr>
            <a:t>Manure Credit: </a:t>
          </a:r>
          <a:r>
            <a:rPr lang="en-US" sz="1100" b="0" baseline="0">
              <a:solidFill>
                <a:schemeClr val="dk1"/>
              </a:solidFill>
              <a:effectLst/>
              <a:latin typeface="+mn-lt"/>
              <a:ea typeface="+mn-ea"/>
              <a:cs typeface="+mn-cs"/>
            </a:rPr>
            <a:t>Assumes a value for nitrogen and phosphorus if sold or value to field in reduced fertilizer expense. Default is $135 per head (hauling captured in Custom Hire below).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Income: </a:t>
          </a:r>
          <a:r>
            <a:rPr lang="en-US" sz="1100" b="0" baseline="0">
              <a:solidFill>
                <a:schemeClr val="dk1"/>
              </a:solidFill>
              <a:effectLst/>
              <a:latin typeface="+mn-lt"/>
              <a:ea typeface="+mn-ea"/>
              <a:cs typeface="+mn-cs"/>
            </a:rPr>
            <a:t>Patronage refunds, government program payments, etc., should be entered here. </a:t>
          </a:r>
          <a:endParaRPr lang="en-US">
            <a:effectLst/>
          </a:endParaRPr>
        </a:p>
        <a:p>
          <a:pPr eaLnBrk="1" fontAlgn="auto" latinLnBrk="0" hangingPunct="1"/>
          <a:endParaRPr lang="en-US">
            <a:effectLst/>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Feed Cost: </a:t>
          </a:r>
          <a:r>
            <a:rPr lang="en-US" sz="1100" b="0" baseline="0">
              <a:solidFill>
                <a:schemeClr val="dk1"/>
              </a:solidFill>
              <a:effectLst/>
              <a:latin typeface="+mn-lt"/>
              <a:ea typeface="+mn-ea"/>
              <a:cs typeface="+mn-cs"/>
            </a:rPr>
            <a:t>Enter dollar per head per day cost over the entire year (includes both milking and dry periods).  Default is a regression of daily feed cost per head in the FINBIN database in relation to corn, soybean, alfalfa price, and total milk produced per cow.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Replacement Heifers: </a:t>
          </a:r>
          <a:r>
            <a:rPr lang="en-US" sz="1100" b="0" baseline="0">
              <a:solidFill>
                <a:schemeClr val="dk1"/>
              </a:solidFill>
              <a:effectLst/>
              <a:latin typeface="+mn-lt"/>
              <a:ea typeface="+mn-ea"/>
              <a:cs typeface="+mn-cs"/>
            </a:rPr>
            <a:t>Dollar per head purchase price multiplied by percentage of replacement purchases.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Cow Breeding Fees: </a:t>
          </a:r>
          <a:r>
            <a:rPr lang="en-US" sz="1100" b="0" baseline="0">
              <a:solidFill>
                <a:schemeClr val="dk1"/>
              </a:solidFill>
              <a:effectLst/>
              <a:latin typeface="+mn-lt"/>
              <a:ea typeface="+mn-ea"/>
              <a:cs typeface="+mn-cs"/>
            </a:rPr>
            <a:t>Default is FINBIN value.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FINBIN average labor is near 41 hours per cow with a total paid labor cost just over $400 per cow.  Unpaid Labor and Management is near $200 per cow, which makes up the other portion of the 41 hours.  These values will vary tremendously depending on the efficiency and level of technology in the operation.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Milk Marketing &amp; Hauling: </a:t>
          </a:r>
          <a:r>
            <a:rPr lang="en-US" sz="1100" b="0" baseline="0">
              <a:solidFill>
                <a:schemeClr val="dk1"/>
              </a:solidFill>
              <a:effectLst/>
              <a:latin typeface="+mn-lt"/>
              <a:ea typeface="+mn-ea"/>
              <a:cs typeface="+mn-cs"/>
            </a:rPr>
            <a:t>Default is FINBIN value.  </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Veterinary:  </a:t>
          </a:r>
          <a:r>
            <a:rPr lang="en-US" sz="1100" b="0" baseline="0">
              <a:solidFill>
                <a:schemeClr val="dk1"/>
              </a:solidFill>
              <a:effectLst/>
              <a:latin typeface="+mn-lt"/>
              <a:ea typeface="+mn-ea"/>
              <a:cs typeface="+mn-cs"/>
            </a:rPr>
            <a:t>Default is FINBIN value.  </a:t>
          </a:r>
        </a:p>
        <a:p>
          <a:pPr eaLnBrk="1" fontAlgn="auto" latinLnBrk="0" hangingPunct="1"/>
          <a:r>
            <a:rPr lang="en-US" sz="1100" b="1" baseline="0">
              <a:solidFill>
                <a:schemeClr val="dk1"/>
              </a:solidFill>
              <a:effectLst/>
              <a:latin typeface="+mn-lt"/>
              <a:ea typeface="+mn-ea"/>
              <a:cs typeface="+mn-cs"/>
            </a:rPr>
            <a:t>Fuel &amp; Oil: </a:t>
          </a:r>
          <a:r>
            <a:rPr lang="en-US" sz="1100" b="0" baseline="0">
              <a:solidFill>
                <a:schemeClr val="dk1"/>
              </a:solidFill>
              <a:effectLst/>
              <a:latin typeface="+mn-lt"/>
              <a:ea typeface="+mn-ea"/>
              <a:cs typeface="+mn-cs"/>
            </a:rPr>
            <a:t>Default is FINBIN value.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Utilities: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Default is FINBIN value.</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Bedding: </a:t>
          </a:r>
          <a:r>
            <a:rPr lang="en-US" sz="1100" b="0" baseline="0">
              <a:solidFill>
                <a:schemeClr val="dk1"/>
              </a:solidFill>
              <a:effectLst/>
              <a:latin typeface="+mn-lt"/>
              <a:ea typeface="+mn-ea"/>
              <a:cs typeface="+mn-cs"/>
            </a:rPr>
            <a:t>Default is FINBIN value.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Custom Hire: </a:t>
          </a:r>
          <a:r>
            <a:rPr lang="en-US" sz="1100" b="0" baseline="0">
              <a:solidFill>
                <a:schemeClr val="dk1"/>
              </a:solidFill>
              <a:effectLst/>
              <a:latin typeface="+mn-lt"/>
              <a:ea typeface="+mn-ea"/>
              <a:cs typeface="+mn-cs"/>
            </a:rPr>
            <a:t>Default is FINBIN value for expenses related to manure hauling, hoof trimming, etc.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FINBIN value for any "Dairy Supplies referring to cleaning/chemicals/filters/etc.   Enter other misc. items as needed.</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Default is based on FINBIN values for buildings and machinery.</a:t>
          </a:r>
          <a:endParaRPr lang="en-US">
            <a:effectLst/>
          </a:endParaRP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Default is FINBIN value.  </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This is not a cost listed in the FINBIN database, but typically the Kansas Farm Management Association (KFMA) has this near 5.5% of total costs for Kansas dairies.</a:t>
          </a:r>
          <a:endParaRPr lang="en-US" sz="1100" b="0" baseline="0">
            <a:solidFill>
              <a:srgbClr val="C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Fixed Costs: </a:t>
          </a:r>
          <a:r>
            <a:rPr lang="en-US" sz="1100" b="0" baseline="0">
              <a:solidFill>
                <a:schemeClr val="dk1"/>
              </a:solidFill>
              <a:effectLst/>
              <a:latin typeface="+mn-lt"/>
              <a:ea typeface="+mn-ea"/>
              <a:cs typeface="+mn-cs"/>
            </a:rPr>
            <a:t>Default is FINBIN value for building and equipment leases, taxes, and other fixed overhead.  Add other fixed costs as needed.  </a:t>
          </a:r>
        </a:p>
      </xdr:txBody>
    </xdr:sp>
    <xdr:clientData/>
  </xdr:twoCellAnchor>
  <xdr:twoCellAnchor>
    <xdr:from>
      <xdr:col>0</xdr:col>
      <xdr:colOff>19050</xdr:colOff>
      <xdr:row>123</xdr:row>
      <xdr:rowOff>333373</xdr:rowOff>
    </xdr:from>
    <xdr:to>
      <xdr:col>11</xdr:col>
      <xdr:colOff>0</xdr:colOff>
      <xdr:row>126</xdr:row>
      <xdr:rowOff>152399</xdr:rowOff>
    </xdr:to>
    <xdr:sp macro="" textlink="">
      <xdr:nvSpPr>
        <xdr:cNvPr id="4" name="TextBox 3"/>
        <xdr:cNvSpPr txBox="1"/>
      </xdr:nvSpPr>
      <xdr:spPr>
        <a:xfrm>
          <a:off x="19050" y="28060648"/>
          <a:ext cx="7496175" cy="781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Robin Reid	</a:t>
          </a:r>
          <a:r>
            <a:rPr lang="en-US" sz="1000" baseline="0"/>
            <a:t>                        </a:t>
          </a:r>
          <a:r>
            <a:rPr lang="en-US" sz="1000"/>
            <a:t>Glynn</a:t>
          </a:r>
          <a:r>
            <a:rPr lang="en-US" sz="1000" baseline="0"/>
            <a:t> Tonsor	               </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Extension Assoicate            Assistant Professor</a:t>
          </a:r>
          <a:r>
            <a:rPr lang="en-US" sz="1000" baseline="0"/>
            <a:t>             </a:t>
          </a:r>
        </a:p>
        <a:p>
          <a:pPr marL="0" marR="0" indent="0" defTabSz="914400" eaLnBrk="1" fontAlgn="auto" latinLnBrk="0" hangingPunct="1">
            <a:lnSpc>
              <a:spcPct val="100000"/>
            </a:lnSpc>
            <a:spcBef>
              <a:spcPts val="0"/>
            </a:spcBef>
            <a:spcAft>
              <a:spcPts val="0"/>
            </a:spcAft>
            <a:buClrTx/>
            <a:buSzTx/>
            <a:buFontTx/>
            <a:buNone/>
            <a:tabLst/>
            <a:defRPr/>
          </a:pPr>
          <a:r>
            <a:rPr lang="en-US" sz="1000"/>
            <a:t>KSU-Ag. Economics</a:t>
          </a:r>
          <a:r>
            <a:rPr lang="en-US" sz="1000" baseline="0"/>
            <a:t>             </a:t>
          </a:r>
          <a:r>
            <a:rPr lang="en-US" sz="1000">
              <a:solidFill>
                <a:schemeClr val="dk1"/>
              </a:solidFill>
              <a:effectLst/>
              <a:latin typeface="+mn-lt"/>
              <a:ea typeface="+mn-ea"/>
              <a:cs typeface="+mn-cs"/>
            </a:rPr>
            <a:t>KSU-Ag. Economics</a:t>
          </a:r>
          <a:r>
            <a:rPr lang="en-US" sz="1000" baseline="0">
              <a:solidFill>
                <a:schemeClr val="dk1"/>
              </a:solidFill>
              <a:effectLst/>
              <a:latin typeface="+mn-lt"/>
              <a:ea typeface="+mn-ea"/>
              <a:cs typeface="+mn-cs"/>
            </a:rPr>
            <a:t>             </a:t>
          </a:r>
          <a:endParaRPr lang="en-US" sz="1000"/>
        </a:p>
      </xdr:txBody>
    </xdr:sp>
    <xdr:clientData/>
  </xdr:twoCellAnchor>
  <mc:AlternateContent xmlns:mc="http://schemas.openxmlformats.org/markup-compatibility/2006">
    <mc:Choice xmlns:a14="http://schemas.microsoft.com/office/drawing/2010/main" Requires="a14">
      <xdr:twoCellAnchor>
        <xdr:from>
          <xdr:col>12</xdr:col>
          <xdr:colOff>600075</xdr:colOff>
          <xdr:row>4</xdr:row>
          <xdr:rowOff>9525</xdr:rowOff>
        </xdr:from>
        <xdr:to>
          <xdr:col>17</xdr:col>
          <xdr:colOff>0</xdr:colOff>
          <xdr:row>5</xdr:row>
          <xdr:rowOff>171450</xdr:rowOff>
        </xdr:to>
        <xdr:sp macro="" textlink="">
          <xdr:nvSpPr>
            <xdr:cNvPr id="4117" name="Button 21" hidden="1">
              <a:extLst>
                <a:ext uri="{63B3BB69-23CF-44E3-9099-C40C66FF867C}">
                  <a14:compatExt spid="_x0000_s41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590550</xdr:colOff>
          <xdr:row>5</xdr:row>
          <xdr:rowOff>285750</xdr:rowOff>
        </xdr:from>
        <xdr:to>
          <xdr:col>17</xdr:col>
          <xdr:colOff>0</xdr:colOff>
          <xdr:row>6</xdr:row>
          <xdr:rowOff>314325</xdr:rowOff>
        </xdr:to>
        <xdr:sp macro="" textlink="">
          <xdr:nvSpPr>
            <xdr:cNvPr id="4119" name="Button 23" hidden="1">
              <a:extLst>
                <a:ext uri="{63B3BB69-23CF-44E3-9099-C40C66FF867C}">
                  <a14:compatExt spid="_x0000_s41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 &amp; Explanation Pages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xdr:colOff>
      <xdr:row>51</xdr:row>
      <xdr:rowOff>19049</xdr:rowOff>
    </xdr:from>
    <xdr:to>
      <xdr:col>3</xdr:col>
      <xdr:colOff>13335</xdr:colOff>
      <xdr:row>93</xdr:row>
      <xdr:rowOff>790575</xdr:rowOff>
    </xdr:to>
    <xdr:sp macro="" textlink="">
      <xdr:nvSpPr>
        <xdr:cNvPr id="2" name="TextBox 1"/>
        <xdr:cNvSpPr txBox="1"/>
      </xdr:nvSpPr>
      <xdr:spPr>
        <a:xfrm>
          <a:off x="19050" y="10696574"/>
          <a:ext cx="3794760" cy="8772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457200" algn="l"/>
            </a:tabLst>
            <a:defRPr/>
          </a:pPr>
          <a:r>
            <a:rPr lang="en-US" sz="1100" baseline="0">
              <a:solidFill>
                <a:schemeClr val="dk1"/>
              </a:solidFill>
              <a:effectLst/>
              <a:latin typeface="+mn-lt"/>
              <a:ea typeface="+mn-ea"/>
              <a:cs typeface="+mn-cs"/>
            </a:rPr>
            <a:t>	K-State's Agricultural Economics Department annually publishes </a:t>
          </a:r>
          <a:r>
            <a:rPr lang="en-US" sz="1100" i="1" baseline="0">
              <a:solidFill>
                <a:schemeClr val="dk1"/>
              </a:solidFill>
              <a:effectLst/>
              <a:latin typeface="+mn-lt"/>
              <a:ea typeface="+mn-ea"/>
              <a:cs typeface="+mn-cs"/>
            </a:rPr>
            <a:t>Farm Management Guides </a:t>
          </a:r>
          <a:r>
            <a:rPr lang="en-US" sz="1100" baseline="0">
              <a:solidFill>
                <a:schemeClr val="dk1"/>
              </a:solidFill>
              <a:effectLst/>
              <a:latin typeface="+mn-lt"/>
              <a:ea typeface="+mn-ea"/>
              <a:cs typeface="+mn-cs"/>
            </a:rPr>
            <a:t>to estimate the current profitability of different agricultural enterprises.  The format for these livestock budgets allows the user to change certain key inputs to cater the budget to their production situation.  Environmental factors, management, operation size, local cash prices, and a variety of other situations makes budgeting to the entire state of Kansas difficult.  While defaults in the spreadsheet are research-based estimates, users should enter their own prices and costs using the cells in </a:t>
          </a:r>
          <a:r>
            <a:rPr lang="en-US" sz="1100" b="1" baseline="0">
              <a:solidFill>
                <a:srgbClr val="0070C0"/>
              </a:solidFill>
              <a:effectLst/>
              <a:latin typeface="+mn-lt"/>
              <a:ea typeface="+mn-ea"/>
              <a:cs typeface="+mn-cs"/>
            </a:rPr>
            <a:t>blue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Base input and output prices populate each budget without reference to any specific time period or specific production period.  Users are encouraged to update prices to best reflect their specific situation.</a:t>
          </a:r>
          <a:endParaRPr lang="en-US">
            <a:effectLst/>
          </a:endParaRPr>
        </a:p>
        <a:p>
          <a:pPr eaLnBrk="1" fontAlgn="auto" latinLnBrk="0" hangingPunct="1">
            <a:tabLst>
              <a:tab pos="457200" algn="l"/>
            </a:tabLst>
          </a:pPr>
          <a:r>
            <a:rPr lang="en-US" sz="1100" baseline="0">
              <a:solidFill>
                <a:schemeClr val="dk1"/>
              </a:solidFill>
              <a:effectLst/>
              <a:latin typeface="+mn-lt"/>
              <a:ea typeface="+mn-ea"/>
              <a:cs typeface="+mn-cs"/>
            </a:rPr>
            <a:t>	Three different sets of price forecasts are available in the spreadsheet.  By clicking the dropdown menu at the top of the budget, a user can select "Current Prices", "One Year Out Prices", or "Five Year Out Prices".  All price assumptions can be viewed in the </a:t>
          </a:r>
          <a:r>
            <a:rPr lang="en-US" sz="1100" i="1" baseline="0">
              <a:solidFill>
                <a:schemeClr val="dk1"/>
              </a:solidFill>
              <a:effectLst/>
              <a:latin typeface="+mn-lt"/>
              <a:ea typeface="+mn-ea"/>
              <a:cs typeface="+mn-cs"/>
            </a:rPr>
            <a:t>Prices </a:t>
          </a:r>
          <a:r>
            <a:rPr lang="en-US" sz="1100" baseline="0">
              <a:solidFill>
                <a:schemeClr val="dk1"/>
              </a:solidFill>
              <a:effectLst/>
              <a:latin typeface="+mn-lt"/>
              <a:ea typeface="+mn-ea"/>
              <a:cs typeface="+mn-cs"/>
            </a:rPr>
            <a:t>tab and be adjusted according to the user's own expectations and local market conditions.  Only default milk, cattle, and feed prices differ when looking at different time horizons.  Other costs will remain fixed.</a:t>
          </a:r>
          <a:endParaRPr lang="en-US">
            <a:effectLst/>
          </a:endParaRPr>
        </a:p>
        <a:p>
          <a:pPr eaLnBrk="1" fontAlgn="auto" latinLnBrk="0" hangingPunct="1">
            <a:tabLst>
              <a:tab pos="457200" algn="l"/>
            </a:tabLst>
          </a:pPr>
          <a:r>
            <a:rPr lang="en-US" sz="1100" baseline="0">
              <a:solidFill>
                <a:schemeClr val="dk1"/>
              </a:solidFill>
              <a:effectLst/>
              <a:latin typeface="+mn-lt"/>
              <a:ea typeface="+mn-ea"/>
              <a:cs typeface="+mn-cs"/>
            </a:rPr>
            <a:t>	The source of default estimates are noted in the explanations to follow, but most of the production costs are taken from The Center for Farm Financial Management "FINBIN" database (www.finbin.umn.edu).  Values for the previous 15 years are regressed to predict a current year value using a time trend, also smoothing out year-to-year variation.  Values that did not display a time trend were computed as an average over this time period.   </a:t>
          </a:r>
          <a:endParaRPr lang="en-US">
            <a:effectLst/>
          </a:endParaRPr>
        </a:p>
        <a:p>
          <a:pPr>
            <a:tabLst>
              <a:tab pos="457200" algn="l"/>
            </a:tabLst>
          </a:pPr>
          <a:r>
            <a:rPr lang="en-US" sz="1100" baseline="0">
              <a:solidFill>
                <a:schemeClr val="dk1"/>
              </a:solidFill>
              <a:effectLst/>
              <a:latin typeface="+mn-lt"/>
              <a:ea typeface="+mn-ea"/>
              <a:cs typeface="+mn-cs"/>
            </a:rPr>
            <a:t>	This budget assumes all heifer are raised on-farm.   See the "Cow Milking-Purchased Replacement budget" or "Replacement Heifers" budget to evaluate other scenarios.  </a:t>
          </a:r>
        </a:p>
        <a:p>
          <a:pPr>
            <a:tabLst>
              <a:tab pos="457200" algn="l"/>
            </a:tabLst>
          </a:pPr>
          <a:endParaRPr lang="en-US" sz="100">
            <a:effectLst/>
          </a:endParaRPr>
        </a:p>
        <a:p>
          <a:pPr>
            <a:tabLst>
              <a:tab pos="457200" algn="l"/>
            </a:tabLst>
          </a:pPr>
          <a:endParaRPr lang="en-US" sz="1100" u="sng" baseline="0">
            <a:solidFill>
              <a:schemeClr val="dk1"/>
            </a:solidFill>
            <a:effectLst/>
            <a:latin typeface="+mn-lt"/>
            <a:ea typeface="+mn-ea"/>
            <a:cs typeface="+mn-cs"/>
          </a:endParaRPr>
        </a:p>
        <a:p>
          <a:pPr>
            <a:tabLst>
              <a:tab pos="457200" algn="l"/>
            </a:tabLst>
          </a:pPr>
          <a:r>
            <a:rPr lang="en-US" sz="1100" u="sng" baseline="0">
              <a:solidFill>
                <a:schemeClr val="dk1"/>
              </a:solidFill>
              <a:effectLst/>
              <a:latin typeface="+mn-lt"/>
              <a:ea typeface="+mn-ea"/>
              <a:cs typeface="+mn-cs"/>
            </a:rPr>
            <a:t>Production Efficiency Measures</a:t>
          </a:r>
          <a:endParaRPr lang="en-US">
            <a:effectLst/>
          </a:endParaRPr>
        </a:p>
        <a:p>
          <a:pPr eaLnBrk="1" fontAlgn="auto" latinLnBrk="0" hangingPunct="1"/>
          <a:r>
            <a:rPr lang="en-US" sz="1100" b="1" baseline="0">
              <a:solidFill>
                <a:schemeClr val="dk1"/>
              </a:solidFill>
              <a:effectLst/>
              <a:latin typeface="+mn-lt"/>
              <a:ea typeface="+mn-ea"/>
              <a:cs typeface="+mn-cs"/>
            </a:rPr>
            <a:t>Milk Produced Per Cow: </a:t>
          </a:r>
          <a:r>
            <a:rPr lang="en-US" sz="1100" b="0" baseline="0">
              <a:solidFill>
                <a:schemeClr val="dk1"/>
              </a:solidFill>
              <a:effectLst/>
              <a:latin typeface="+mn-lt"/>
              <a:ea typeface="+mn-ea"/>
              <a:cs typeface="+mn-cs"/>
            </a:rPr>
            <a:t>Average pounds of milk per cow per year.  This has a HUGE effect on ending profitability, so should be adjusted to fit the operation.  Default is roughly the FINBIN  average and Kansas Farm Management Association (KFMA) dairy farm enterprise average.</a:t>
          </a:r>
          <a:endParaRPr lang="en-US">
            <a:effectLst/>
          </a:endParaRPr>
        </a:p>
        <a:p>
          <a:pPr eaLnBrk="1" fontAlgn="auto" latinLnBrk="0" hangingPunct="1"/>
          <a:r>
            <a:rPr lang="en-US" sz="1100" b="1" baseline="0">
              <a:solidFill>
                <a:schemeClr val="dk1"/>
              </a:solidFill>
              <a:effectLst/>
              <a:latin typeface="+mn-lt"/>
              <a:ea typeface="+mn-ea"/>
              <a:cs typeface="+mn-cs"/>
            </a:rPr>
            <a:t>Cull Cow Sales: </a:t>
          </a:r>
          <a:r>
            <a:rPr lang="en-US" sz="1100" b="0" baseline="0">
              <a:solidFill>
                <a:schemeClr val="dk1"/>
              </a:solidFill>
              <a:effectLst/>
              <a:latin typeface="+mn-lt"/>
              <a:ea typeface="+mn-ea"/>
              <a:cs typeface="+mn-cs"/>
            </a:rPr>
            <a:t>Percentage of entire herd sold each year as culls. FINBIN farms average around 7% cow death loss or no sales value, so this makes up the difference in replacement turnover.  </a:t>
          </a:r>
          <a:endParaRPr lang="en-US">
            <a:effectLst/>
          </a:endParaRPr>
        </a:p>
        <a:p>
          <a:pPr eaLnBrk="1" fontAlgn="auto" latinLnBrk="0" hangingPunct="1"/>
          <a:r>
            <a:rPr lang="en-US" sz="1100" b="1" baseline="0">
              <a:solidFill>
                <a:schemeClr val="dk1"/>
              </a:solidFill>
              <a:effectLst/>
              <a:latin typeface="+mn-lt"/>
              <a:ea typeface="+mn-ea"/>
              <a:cs typeface="+mn-cs"/>
            </a:rPr>
            <a:t>Calves Sold: </a:t>
          </a:r>
          <a:r>
            <a:rPr lang="en-US" sz="1100" b="0" baseline="0">
              <a:solidFill>
                <a:schemeClr val="dk1"/>
              </a:solidFill>
              <a:effectLst/>
              <a:latin typeface="+mn-lt"/>
              <a:ea typeface="+mn-ea"/>
              <a:cs typeface="+mn-cs"/>
            </a:rPr>
            <a:t>Percentage of live, sellable calves.  Note that this budget assumes you retain all replacement heifers.  4% death loss is the default on bull calf sales.  </a:t>
          </a:r>
        </a:p>
        <a:p>
          <a:pPr eaLnBrk="1" fontAlgn="auto" latinLnBrk="0" hangingPunct="1"/>
          <a:r>
            <a:rPr lang="en-US" sz="1100" b="1" baseline="0">
              <a:solidFill>
                <a:schemeClr val="dk1"/>
              </a:solidFill>
              <a:effectLst/>
              <a:latin typeface="+mn-lt"/>
              <a:ea typeface="+mn-ea"/>
              <a:cs typeface="+mn-cs"/>
            </a:rPr>
            <a:t>Cull Replacements Sold: </a:t>
          </a:r>
          <a:r>
            <a:rPr lang="en-US" sz="1100" b="0" baseline="0">
              <a:solidFill>
                <a:schemeClr val="dk1"/>
              </a:solidFill>
              <a:effectLst/>
              <a:latin typeface="+mn-lt"/>
              <a:ea typeface="+mn-ea"/>
              <a:cs typeface="+mn-cs"/>
            </a:rPr>
            <a:t>Cull replacements sold as non-breeders.</a:t>
          </a:r>
          <a:endParaRPr lang="en-US">
            <a:effectLst/>
          </a:endParaRPr>
        </a:p>
        <a:p>
          <a:pPr eaLnBrk="1" fontAlgn="auto" latinLnBrk="0" hangingPunct="1"/>
          <a:r>
            <a:rPr lang="en-US" sz="1100" b="1" baseline="0">
              <a:solidFill>
                <a:schemeClr val="dk1"/>
              </a:solidFill>
              <a:effectLst/>
              <a:latin typeface="+mn-lt"/>
              <a:ea typeface="+mn-ea"/>
              <a:cs typeface="+mn-cs"/>
            </a:rPr>
            <a:t>Cull Yearlings Sold: </a:t>
          </a:r>
          <a:r>
            <a:rPr lang="en-US" sz="1100" b="0" baseline="0">
              <a:solidFill>
                <a:schemeClr val="dk1"/>
              </a:solidFill>
              <a:effectLst/>
              <a:latin typeface="+mn-lt"/>
              <a:ea typeface="+mn-ea"/>
              <a:cs typeface="+mn-cs"/>
            </a:rPr>
            <a:t>Cull replacements sold as yearlings.</a:t>
          </a:r>
          <a:endParaRPr lang="en-US">
            <a:effectLst/>
          </a:endParaRPr>
        </a:p>
      </xdr:txBody>
    </xdr:sp>
    <xdr:clientData/>
  </xdr:twoCellAnchor>
  <xdr:twoCellAnchor>
    <xdr:from>
      <xdr:col>2</xdr:col>
      <xdr:colOff>904874</xdr:colOff>
      <xdr:row>51</xdr:row>
      <xdr:rowOff>38098</xdr:rowOff>
    </xdr:from>
    <xdr:to>
      <xdr:col>10</xdr:col>
      <xdr:colOff>775334</xdr:colOff>
      <xdr:row>93</xdr:row>
      <xdr:rowOff>752475</xdr:rowOff>
    </xdr:to>
    <xdr:sp macro="" textlink="">
      <xdr:nvSpPr>
        <xdr:cNvPr id="3" name="TextBox 2"/>
        <xdr:cNvSpPr txBox="1"/>
      </xdr:nvSpPr>
      <xdr:spPr>
        <a:xfrm>
          <a:off x="3800474" y="10715623"/>
          <a:ext cx="3794760" cy="87153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Replacement Heifer Death Loss: </a:t>
          </a:r>
          <a:r>
            <a:rPr lang="en-US" sz="1100" b="0" baseline="0">
              <a:solidFill>
                <a:schemeClr val="dk1"/>
              </a:solidFill>
              <a:effectLst/>
              <a:latin typeface="+mn-lt"/>
              <a:ea typeface="+mn-ea"/>
              <a:cs typeface="+mn-cs"/>
            </a:rPr>
            <a:t>Percentage of calves/heifers normally lost.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Replacement Heifer Turnover: </a:t>
          </a:r>
          <a:r>
            <a:rPr lang="en-US" sz="1100" b="0" baseline="0">
              <a:solidFill>
                <a:schemeClr val="dk1"/>
              </a:solidFill>
              <a:effectLst/>
              <a:latin typeface="+mn-lt"/>
              <a:ea typeface="+mn-ea"/>
              <a:cs typeface="+mn-cs"/>
            </a:rPr>
            <a:t>Amount of replacement heifers raised to freshening in relationship to the entire herd, listed as a percent.  FINBIN typically displays a 34% turnover rate. Assumptions are that 50% of calves are born as heifers, 2% are culled as yearlings, 5% are culled as non-breeders, and 9% death loss is realized during the developement period.  </a:t>
          </a:r>
          <a:endParaRPr lang="en-US">
            <a:effectLst/>
          </a:endParaRPr>
        </a:p>
        <a:p>
          <a:pPr eaLnBrk="1" fontAlgn="auto" latinLnBrk="0" hangingPunct="1"/>
          <a:endParaRPr lang="en-US" sz="11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Returns</a:t>
          </a:r>
          <a:endParaRPr lang="en-US">
            <a:effectLst/>
          </a:endParaRPr>
        </a:p>
        <a:p>
          <a:pPr eaLnBrk="1" fontAlgn="auto" latinLnBrk="0" hangingPunct="1"/>
          <a:r>
            <a:rPr lang="en-US" sz="1100" b="1" baseline="0">
              <a:solidFill>
                <a:schemeClr val="dk1"/>
              </a:solidFill>
              <a:effectLst/>
              <a:latin typeface="+mn-lt"/>
              <a:ea typeface="+mn-ea"/>
              <a:cs typeface="+mn-cs"/>
            </a:rPr>
            <a:t>Milk Sales: </a:t>
          </a:r>
          <a:r>
            <a:rPr lang="en-US" sz="1100" b="0" baseline="0">
              <a:solidFill>
                <a:schemeClr val="dk1"/>
              </a:solidFill>
              <a:effectLst/>
              <a:latin typeface="+mn-lt"/>
              <a:ea typeface="+mn-ea"/>
              <a:cs typeface="+mn-cs"/>
            </a:rPr>
            <a:t>Milk produced per cow multiplied by milk price.</a:t>
          </a:r>
          <a:endParaRPr lang="en-US">
            <a:effectLst/>
          </a:endParaRPr>
        </a:p>
        <a:p>
          <a:pPr eaLnBrk="1" fontAlgn="auto" latinLnBrk="0" hangingPunct="1"/>
          <a:r>
            <a:rPr lang="en-US" sz="1100" b="1" baseline="0">
              <a:solidFill>
                <a:schemeClr val="dk1"/>
              </a:solidFill>
              <a:effectLst/>
              <a:latin typeface="+mn-lt"/>
              <a:ea typeface="+mn-ea"/>
              <a:cs typeface="+mn-cs"/>
            </a:rPr>
            <a:t>Milk Premiums: </a:t>
          </a:r>
          <a:r>
            <a:rPr lang="en-US" sz="1100" b="0" baseline="0">
              <a:solidFill>
                <a:schemeClr val="dk1"/>
              </a:solidFill>
              <a:effectLst/>
              <a:latin typeface="+mn-lt"/>
              <a:ea typeface="+mn-ea"/>
              <a:cs typeface="+mn-cs"/>
            </a:rPr>
            <a:t>Enter any volume, quality, or other premiums to be applied to pounds of milk produced not already captured in milk sales.</a:t>
          </a:r>
          <a:endParaRPr lang="en-US">
            <a:effectLst/>
          </a:endParaRPr>
        </a:p>
        <a:p>
          <a:pPr eaLnBrk="1" fontAlgn="auto" latinLnBrk="0" hangingPunct="1"/>
          <a:r>
            <a:rPr lang="en-US" sz="1100" b="1" baseline="0">
              <a:solidFill>
                <a:schemeClr val="dk1"/>
              </a:solidFill>
              <a:effectLst/>
              <a:latin typeface="+mn-lt"/>
              <a:ea typeface="+mn-ea"/>
              <a:cs typeface="+mn-cs"/>
            </a:rPr>
            <a:t>Calves Sold: </a:t>
          </a:r>
          <a:r>
            <a:rPr lang="en-US" sz="1100" b="0" baseline="0">
              <a:solidFill>
                <a:schemeClr val="dk1"/>
              </a:solidFill>
              <a:effectLst/>
              <a:latin typeface="+mn-lt"/>
              <a:ea typeface="+mn-ea"/>
              <a:cs typeface="+mn-cs"/>
            </a:rPr>
            <a:t>Bull calf price multiplied by sales percentage.</a:t>
          </a:r>
          <a:endParaRPr lang="en-US">
            <a:effectLst/>
          </a:endParaRPr>
        </a:p>
        <a:p>
          <a:pPr eaLnBrk="1" fontAlgn="auto" latinLnBrk="0" hangingPunct="1"/>
          <a:r>
            <a:rPr lang="en-US" sz="1100" b="1" baseline="0">
              <a:solidFill>
                <a:schemeClr val="dk1"/>
              </a:solidFill>
              <a:effectLst/>
              <a:latin typeface="+mn-lt"/>
              <a:ea typeface="+mn-ea"/>
              <a:cs typeface="+mn-cs"/>
            </a:rPr>
            <a:t>Cull Cows, Replacements, and Yearlings Sold: </a:t>
          </a:r>
          <a:r>
            <a:rPr lang="en-US" sz="1100" b="0" baseline="0">
              <a:solidFill>
                <a:schemeClr val="dk1"/>
              </a:solidFill>
              <a:effectLst/>
              <a:latin typeface="+mn-lt"/>
              <a:ea typeface="+mn-ea"/>
              <a:cs typeface="+mn-cs"/>
            </a:rPr>
            <a:t>Enter average cull weight to be multiplied by price and sales percentage.</a:t>
          </a:r>
          <a:endParaRPr lang="en-US">
            <a:effectLst/>
          </a:endParaRPr>
        </a:p>
        <a:p>
          <a:pPr eaLnBrk="1" fontAlgn="auto" latinLnBrk="0" hangingPunct="1"/>
          <a:r>
            <a:rPr lang="en-US" sz="1100" b="1" baseline="0">
              <a:solidFill>
                <a:schemeClr val="dk1"/>
              </a:solidFill>
              <a:effectLst/>
              <a:latin typeface="+mn-lt"/>
              <a:ea typeface="+mn-ea"/>
              <a:cs typeface="+mn-cs"/>
            </a:rPr>
            <a:t>Manure Credit: </a:t>
          </a:r>
          <a:r>
            <a:rPr lang="en-US" sz="1100" b="0" baseline="0">
              <a:solidFill>
                <a:schemeClr val="dk1"/>
              </a:solidFill>
              <a:effectLst/>
              <a:latin typeface="+mn-lt"/>
              <a:ea typeface="+mn-ea"/>
              <a:cs typeface="+mn-cs"/>
            </a:rPr>
            <a:t>Assumes a value for nitrogen and phosphorus if sold or value to field in reduced fertilizer expense. Default is $135 per cow and $40 per heifer (multiplied by turnover rate).</a:t>
          </a:r>
          <a:endParaRPr lang="en-US">
            <a:effectLst/>
          </a:endParaRPr>
        </a:p>
        <a:p>
          <a:pPr eaLnBrk="1" fontAlgn="auto" latinLnBrk="0" hangingPunct="1"/>
          <a:r>
            <a:rPr lang="en-US" sz="1100" b="1" baseline="0">
              <a:solidFill>
                <a:schemeClr val="dk1"/>
              </a:solidFill>
              <a:effectLst/>
              <a:latin typeface="+mn-lt"/>
              <a:ea typeface="+mn-ea"/>
              <a:cs typeface="+mn-cs"/>
            </a:rPr>
            <a:t>Other Income: </a:t>
          </a:r>
          <a:r>
            <a:rPr lang="en-US" sz="1100" b="0" baseline="0">
              <a:solidFill>
                <a:schemeClr val="dk1"/>
              </a:solidFill>
              <a:effectLst/>
              <a:latin typeface="+mn-lt"/>
              <a:ea typeface="+mn-ea"/>
              <a:cs typeface="+mn-cs"/>
            </a:rPr>
            <a:t>Patronage refunds, government program payments, etc., should be entered here. </a:t>
          </a:r>
          <a:endParaRPr lang="en-US">
            <a:effectLst/>
          </a:endParaRPr>
        </a:p>
        <a:p>
          <a:pPr eaLnBrk="1" fontAlgn="auto" latinLnBrk="0" hangingPunct="1"/>
          <a:endParaRPr lang="en-US" sz="11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Heifer Feed Costs: </a:t>
          </a:r>
          <a:r>
            <a:rPr lang="en-US" sz="1100" b="0" baseline="0">
              <a:solidFill>
                <a:schemeClr val="dk1"/>
              </a:solidFill>
              <a:effectLst/>
              <a:latin typeface="+mn-lt"/>
              <a:ea typeface="+mn-ea"/>
              <a:cs typeface="+mn-cs"/>
            </a:rPr>
            <a:t>Enter total dollar feed cost for the entire development of the heifer.  Default is a regression of total feed cost per head in the FINBIN database in relation to corn, soybean, alfalfa, and milk price.  Heifer feed cost is applied on a per-cow basis by taking total feed cost multiplied by the heifer turnover rate plus 1/2 the percentage of culls and heifer death loss.    </a:t>
          </a:r>
          <a:endParaRPr lang="en-US">
            <a:effectLst/>
          </a:endParaRPr>
        </a:p>
        <a:p>
          <a:pPr eaLnBrk="1" fontAlgn="auto" latinLnBrk="0" hangingPunct="1"/>
          <a:r>
            <a:rPr lang="en-US" sz="1100" b="1" baseline="0">
              <a:solidFill>
                <a:schemeClr val="dk1"/>
              </a:solidFill>
              <a:effectLst/>
              <a:latin typeface="+mn-lt"/>
              <a:ea typeface="+mn-ea"/>
              <a:cs typeface="+mn-cs"/>
            </a:rPr>
            <a:t>Feed Cost: </a:t>
          </a:r>
          <a:r>
            <a:rPr lang="en-US" sz="1100" b="0" baseline="0">
              <a:solidFill>
                <a:schemeClr val="dk1"/>
              </a:solidFill>
              <a:effectLst/>
              <a:latin typeface="+mn-lt"/>
              <a:ea typeface="+mn-ea"/>
              <a:cs typeface="+mn-cs"/>
            </a:rPr>
            <a:t>Enter dollar per head per day cost over the entire year (includes both milking and dry periods).  Default is a regression of daily feed cost per head in the FINBIN database in relation to corn, soybean, alfalfa price, and total milk produced per cow.  </a:t>
          </a:r>
          <a:endParaRPr lang="en-US">
            <a:effectLst/>
          </a:endParaRPr>
        </a:p>
        <a:p>
          <a:pPr eaLnBrk="1" fontAlgn="auto" latinLnBrk="0" hangingPunct="1"/>
          <a:r>
            <a:rPr lang="en-US" sz="1100" b="1" baseline="0">
              <a:solidFill>
                <a:schemeClr val="dk1"/>
              </a:solidFill>
              <a:effectLst/>
              <a:latin typeface="+mn-lt"/>
              <a:ea typeface="+mn-ea"/>
              <a:cs typeface="+mn-cs"/>
            </a:rPr>
            <a:t>Breeding Fees: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FINBIN average labor is just over 48 hours per cow (including replacement heifer development) with a total paid labor cost just near $500 per cow.  Unpaid Labor and Management is near $250 per cow, which makes up the other portion of the 48 hours.  These values will vary tremendously depending on the efficiency and level of technology in the operation.  </a:t>
          </a:r>
          <a:endParaRPr lang="en-US">
            <a:effectLst/>
          </a:endParaRPr>
        </a:p>
        <a:p>
          <a:pPr eaLnBrk="1" fontAlgn="auto" latinLnBrk="0" hangingPunct="1"/>
          <a:r>
            <a:rPr lang="en-US" sz="1100" b="1" baseline="0">
              <a:solidFill>
                <a:schemeClr val="dk1"/>
              </a:solidFill>
              <a:effectLst/>
              <a:latin typeface="+mn-lt"/>
              <a:ea typeface="+mn-ea"/>
              <a:cs typeface="+mn-cs"/>
            </a:rPr>
            <a:t>Milk Marketing &amp; Hauling: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Veterinary: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Fuel &amp; Oil: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Utilities: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Default is FINBIN value.</a:t>
          </a:r>
          <a:endParaRPr lang="en-US">
            <a:effectLst/>
          </a:endParaRPr>
        </a:p>
        <a:p>
          <a:pPr eaLnBrk="1" fontAlgn="auto" latinLnBrk="0" hangingPunct="1"/>
          <a:r>
            <a:rPr lang="en-US" sz="1100" b="1" baseline="0">
              <a:solidFill>
                <a:schemeClr val="dk1"/>
              </a:solidFill>
              <a:effectLst/>
              <a:latin typeface="+mn-lt"/>
              <a:ea typeface="+mn-ea"/>
              <a:cs typeface="+mn-cs"/>
            </a:rPr>
            <a:t>Bedding: </a:t>
          </a:r>
          <a:r>
            <a:rPr lang="en-US" sz="1100" b="0" baseline="0">
              <a:solidFill>
                <a:schemeClr val="dk1"/>
              </a:solidFill>
              <a:effectLst/>
              <a:latin typeface="+mn-lt"/>
              <a:ea typeface="+mn-ea"/>
              <a:cs typeface="+mn-cs"/>
            </a:rPr>
            <a:t>Default is FINBIN value.  </a:t>
          </a:r>
          <a:endParaRPr lang="en-US">
            <a:effectLst/>
          </a:endParaRPr>
        </a:p>
      </xdr:txBody>
    </xdr:sp>
    <xdr:clientData/>
  </xdr:twoCellAnchor>
  <xdr:twoCellAnchor>
    <xdr:from>
      <xdr:col>0</xdr:col>
      <xdr:colOff>19050</xdr:colOff>
      <xdr:row>134</xdr:row>
      <xdr:rowOff>333373</xdr:rowOff>
    </xdr:from>
    <xdr:to>
      <xdr:col>11</xdr:col>
      <xdr:colOff>0</xdr:colOff>
      <xdr:row>137</xdr:row>
      <xdr:rowOff>152399</xdr:rowOff>
    </xdr:to>
    <xdr:sp macro="" textlink="">
      <xdr:nvSpPr>
        <xdr:cNvPr id="4" name="TextBox 3"/>
        <xdr:cNvSpPr txBox="1"/>
      </xdr:nvSpPr>
      <xdr:spPr>
        <a:xfrm>
          <a:off x="19050" y="28193998"/>
          <a:ext cx="7581900" cy="781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Robin Reid	</a:t>
          </a:r>
          <a:r>
            <a:rPr lang="en-US" sz="1000" baseline="0"/>
            <a:t>                        </a:t>
          </a:r>
          <a:r>
            <a:rPr lang="en-US" sz="1000"/>
            <a:t>Glynn</a:t>
          </a:r>
          <a:r>
            <a:rPr lang="en-US" sz="1000" baseline="0"/>
            <a:t> Tonsor	              </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Extension Assoicate            Assistant Professor</a:t>
          </a:r>
          <a:r>
            <a:rPr lang="en-US" sz="1000" baseline="0"/>
            <a:t>             </a:t>
          </a:r>
        </a:p>
        <a:p>
          <a:pPr marL="0" marR="0" indent="0" defTabSz="914400" eaLnBrk="1" fontAlgn="auto" latinLnBrk="0" hangingPunct="1">
            <a:lnSpc>
              <a:spcPct val="100000"/>
            </a:lnSpc>
            <a:spcBef>
              <a:spcPts val="0"/>
            </a:spcBef>
            <a:spcAft>
              <a:spcPts val="0"/>
            </a:spcAft>
            <a:buClrTx/>
            <a:buSzTx/>
            <a:buFontTx/>
            <a:buNone/>
            <a:tabLst/>
            <a:defRPr/>
          </a:pPr>
          <a:r>
            <a:rPr lang="en-US" sz="1000"/>
            <a:t>KSU-Ag. Economics</a:t>
          </a:r>
          <a:r>
            <a:rPr lang="en-US" sz="1000" baseline="0"/>
            <a:t>             </a:t>
          </a:r>
          <a:r>
            <a:rPr lang="en-US" sz="1000">
              <a:solidFill>
                <a:schemeClr val="dk1"/>
              </a:solidFill>
              <a:effectLst/>
              <a:latin typeface="+mn-lt"/>
              <a:ea typeface="+mn-ea"/>
              <a:cs typeface="+mn-cs"/>
            </a:rPr>
            <a:t>KSU-Ag. Economics</a:t>
          </a:r>
          <a:r>
            <a:rPr lang="en-US" sz="1000" baseline="0">
              <a:solidFill>
                <a:schemeClr val="dk1"/>
              </a:solidFill>
              <a:effectLst/>
              <a:latin typeface="+mn-lt"/>
              <a:ea typeface="+mn-ea"/>
              <a:cs typeface="+mn-cs"/>
            </a:rPr>
            <a:t>             </a:t>
          </a:r>
          <a:endParaRPr lang="en-US" sz="1000"/>
        </a:p>
      </xdr:txBody>
    </xdr:sp>
    <xdr:clientData/>
  </xdr:twoCellAnchor>
  <xdr:twoCellAnchor>
    <xdr:from>
      <xdr:col>0</xdr:col>
      <xdr:colOff>0</xdr:colOff>
      <xdr:row>98</xdr:row>
      <xdr:rowOff>9525</xdr:rowOff>
    </xdr:from>
    <xdr:to>
      <xdr:col>10</xdr:col>
      <xdr:colOff>752474</xdr:colOff>
      <xdr:row>111</xdr:row>
      <xdr:rowOff>952500</xdr:rowOff>
    </xdr:to>
    <xdr:sp macro="" textlink="">
      <xdr:nvSpPr>
        <xdr:cNvPr id="7" name="TextBox 6"/>
        <xdr:cNvSpPr txBox="1"/>
      </xdr:nvSpPr>
      <xdr:spPr>
        <a:xfrm>
          <a:off x="0" y="20345400"/>
          <a:ext cx="7572374" cy="3419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dk1"/>
              </a:solidFill>
              <a:effectLst/>
              <a:latin typeface="+mn-lt"/>
              <a:ea typeface="+mn-ea"/>
              <a:cs typeface="+mn-cs"/>
            </a:rPr>
            <a:t>Variable Costs (continued)</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Custom Hire: </a:t>
          </a:r>
          <a:r>
            <a:rPr lang="en-US" sz="1100" b="0" baseline="0">
              <a:solidFill>
                <a:schemeClr val="dk1"/>
              </a:solidFill>
              <a:effectLst/>
              <a:latin typeface="+mn-lt"/>
              <a:ea typeface="+mn-ea"/>
              <a:cs typeface="+mn-cs"/>
            </a:rPr>
            <a:t>Default is FINBIN value for expenses related to manure hauling, hoof trimming, and other hired expenses.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FINBIN value for any "Dairy Supplies" referring to cleaning/chemicals/filters/etc.   Enter other misc. items as needed.</a:t>
          </a:r>
          <a:endParaRPr lang="en-US">
            <a:effectLst/>
          </a:endParaRPr>
        </a:p>
        <a:p>
          <a:pPr eaLnBrk="1" fontAlgn="auto" latinLnBrk="0" hangingPunct="1"/>
          <a:endParaRPr lang="en-US" sz="1100" b="1" baseline="0">
            <a:solidFill>
              <a:schemeClr val="dk1"/>
            </a:solidFill>
            <a:effectLst/>
            <a:latin typeface="+mn-lt"/>
            <a:ea typeface="+mn-ea"/>
            <a:cs typeface="+mn-cs"/>
          </a:endParaRPr>
        </a:p>
        <a:p>
          <a:pPr eaLnBrk="1" fontAlgn="auto" latinLnBrk="0" hangingPunct="1"/>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dk1"/>
              </a:solidFill>
              <a:effectLst/>
              <a:latin typeface="+mn-lt"/>
              <a:ea typeface="+mn-ea"/>
              <a:cs typeface="+mn-cs"/>
            </a:rPr>
            <a:t>Fixed Costs </a:t>
          </a:r>
          <a:endParaRPr lang="en-US">
            <a:effectLst/>
          </a:endParaRP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Default is based on FINBIN values for buildings and machinery.</a:t>
          </a:r>
          <a:endParaRPr lang="en-US">
            <a:effectLst/>
          </a:endParaRP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Default is FINBIN value.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This is not a cost listed in the FINBIN database, but typically the Kansas Farm Management Association (KFMA) has this near 5.5% of total costs for Kansas dairies.</a:t>
          </a:r>
          <a:endParaRPr lang="en-US">
            <a:effectLst/>
          </a:endParaRPr>
        </a:p>
        <a:p>
          <a:pPr eaLnBrk="1" fontAlgn="auto" latinLnBrk="0" hangingPunct="1"/>
          <a:r>
            <a:rPr lang="en-US" sz="1100" b="1" baseline="0">
              <a:solidFill>
                <a:schemeClr val="dk1"/>
              </a:solidFill>
              <a:effectLst/>
              <a:latin typeface="+mn-lt"/>
              <a:ea typeface="+mn-ea"/>
              <a:cs typeface="+mn-cs"/>
            </a:rPr>
            <a:t>Other Fixed Costs: </a:t>
          </a:r>
          <a:r>
            <a:rPr lang="en-US" sz="1100" b="0" baseline="0">
              <a:solidFill>
                <a:schemeClr val="dk1"/>
              </a:solidFill>
              <a:effectLst/>
              <a:latin typeface="+mn-lt"/>
              <a:ea typeface="+mn-ea"/>
              <a:cs typeface="+mn-cs"/>
            </a:rPr>
            <a:t>Default is FINBIN value for building and equipment leases, taxes, and other fixed overhead.  Add other fixed costs as needed.  </a:t>
          </a:r>
          <a:endParaRPr lang="en-US">
            <a:effectLst/>
          </a:endParaRP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*Note:</a:t>
          </a:r>
          <a:r>
            <a:rPr lang="en-US" sz="1100" i="1" baseline="0">
              <a:solidFill>
                <a:schemeClr val="dk1"/>
              </a:solidFill>
              <a:effectLst/>
              <a:latin typeface="+mn-lt"/>
              <a:ea typeface="+mn-ea"/>
              <a:cs typeface="+mn-cs"/>
            </a:rPr>
            <a:t> FINBIN defaults are based on an average of 397 farms with a current average herd size of 185 cows (milking and dry) and average milk per cow of 23,847 pounds.</a:t>
          </a:r>
          <a:endParaRPr lang="en-US" sz="1000" i="1">
            <a:effectLst/>
          </a:endParaRPr>
        </a:p>
      </xdr:txBody>
    </xdr:sp>
    <xdr:clientData/>
  </xdr:twoCellAnchor>
  <mc:AlternateContent xmlns:mc="http://schemas.openxmlformats.org/markup-compatibility/2006">
    <mc:Choice xmlns:a14="http://schemas.microsoft.com/office/drawing/2010/main" Requires="a14">
      <xdr:twoCellAnchor>
        <xdr:from>
          <xdr:col>12</xdr:col>
          <xdr:colOff>314325</xdr:colOff>
          <xdr:row>3</xdr:row>
          <xdr:rowOff>161925</xdr:rowOff>
        </xdr:from>
        <xdr:to>
          <xdr:col>16</xdr:col>
          <xdr:colOff>314325</xdr:colOff>
          <xdr:row>5</xdr:row>
          <xdr:rowOff>152400</xdr:rowOff>
        </xdr:to>
        <xdr:sp macro="" textlink="">
          <xdr:nvSpPr>
            <xdr:cNvPr id="10243" name="Button 3" hidden="1">
              <a:extLst>
                <a:ext uri="{63B3BB69-23CF-44E3-9099-C40C66FF867C}">
                  <a14:compatExt spid="_x0000_s102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6</xdr:row>
          <xdr:rowOff>190500</xdr:rowOff>
        </xdr:from>
        <xdr:to>
          <xdr:col>16</xdr:col>
          <xdr:colOff>314325</xdr:colOff>
          <xdr:row>7</xdr:row>
          <xdr:rowOff>200025</xdr:rowOff>
        </xdr:to>
        <xdr:sp macro="" textlink="">
          <xdr:nvSpPr>
            <xdr:cNvPr id="10244" name="Button 4" hidden="1">
              <a:extLst>
                <a:ext uri="{63B3BB69-23CF-44E3-9099-C40C66FF867C}">
                  <a14:compatExt spid="_x0000_s102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 &amp; Explanation Pages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19049</xdr:colOff>
      <xdr:row>46</xdr:row>
      <xdr:rowOff>19047</xdr:rowOff>
    </xdr:from>
    <xdr:to>
      <xdr:col>2</xdr:col>
      <xdr:colOff>615314</xdr:colOff>
      <xdr:row>88</xdr:row>
      <xdr:rowOff>1685925</xdr:rowOff>
    </xdr:to>
    <xdr:sp macro="" textlink="">
      <xdr:nvSpPr>
        <xdr:cNvPr id="2" name="TextBox 1"/>
        <xdr:cNvSpPr txBox="1"/>
      </xdr:nvSpPr>
      <xdr:spPr>
        <a:xfrm>
          <a:off x="19049" y="10934697"/>
          <a:ext cx="3749040" cy="96678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457200" algn="l"/>
            </a:tabLst>
            <a:defRPr/>
          </a:pPr>
          <a:r>
            <a:rPr lang="en-US" sz="1100" baseline="0">
              <a:solidFill>
                <a:schemeClr val="dk1"/>
              </a:solidFill>
              <a:effectLst/>
              <a:latin typeface="+mn-lt"/>
              <a:ea typeface="+mn-ea"/>
              <a:cs typeface="+mn-cs"/>
            </a:rPr>
            <a:t>	K-State's Agricultural Economics Department annually publishes </a:t>
          </a:r>
          <a:r>
            <a:rPr lang="en-US" sz="1100" i="1" baseline="0">
              <a:solidFill>
                <a:schemeClr val="dk1"/>
              </a:solidFill>
              <a:effectLst/>
              <a:latin typeface="+mn-lt"/>
              <a:ea typeface="+mn-ea"/>
              <a:cs typeface="+mn-cs"/>
            </a:rPr>
            <a:t>Farm Management Guides </a:t>
          </a:r>
          <a:r>
            <a:rPr lang="en-US" sz="1100" baseline="0">
              <a:solidFill>
                <a:schemeClr val="dk1"/>
              </a:solidFill>
              <a:effectLst/>
              <a:latin typeface="+mn-lt"/>
              <a:ea typeface="+mn-ea"/>
              <a:cs typeface="+mn-cs"/>
            </a:rPr>
            <a:t>to estimate the current profitability of different agricultural enterprises.  The format for these livestock budgets allows the user to change certain key inputs to cater the budget to their production situation.  Environmental factors, management, operation size, local cash prices, and a variety of other situations makes budgeting to the entire state of Kansas difficult.  While defaults in the spreadsheet are research-based estimates, users should enter their own prices and costs using the cells in </a:t>
          </a:r>
          <a:r>
            <a:rPr lang="en-US" sz="1100" b="1" baseline="0">
              <a:solidFill>
                <a:srgbClr val="0070C0"/>
              </a:solidFill>
              <a:effectLst/>
              <a:latin typeface="+mn-lt"/>
              <a:ea typeface="+mn-ea"/>
              <a:cs typeface="+mn-cs"/>
            </a:rPr>
            <a:t>blue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Base input and output prices populate each budget without reference to any specific time period or specific production period.  Users are encouraged to update prices to best reflect their specific situation.</a:t>
          </a:r>
          <a:endParaRPr lang="en-US">
            <a:effectLst/>
          </a:endParaRPr>
        </a:p>
        <a:p>
          <a:pPr eaLnBrk="1" fontAlgn="auto" latinLnBrk="0" hangingPunct="1">
            <a:tabLst>
              <a:tab pos="457200" algn="l"/>
            </a:tabLst>
          </a:pPr>
          <a:r>
            <a:rPr lang="en-US" sz="1100" baseline="0">
              <a:solidFill>
                <a:schemeClr val="dk1"/>
              </a:solidFill>
              <a:effectLst/>
              <a:latin typeface="+mn-lt"/>
              <a:ea typeface="+mn-ea"/>
              <a:cs typeface="+mn-cs"/>
            </a:rPr>
            <a:t>	Three different sets of price forecasts are available in the spreadsheet.  By clicking the dropdown menu at the top of the budget, a user can select "Current Prices", "One Year Out Prices", or "Five Year Out Prices".  All price assumptions can be viewed in the </a:t>
          </a:r>
          <a:r>
            <a:rPr lang="en-US" sz="1100" i="1" baseline="0">
              <a:solidFill>
                <a:schemeClr val="dk1"/>
              </a:solidFill>
              <a:effectLst/>
              <a:latin typeface="+mn-lt"/>
              <a:ea typeface="+mn-ea"/>
              <a:cs typeface="+mn-cs"/>
            </a:rPr>
            <a:t>Prices </a:t>
          </a:r>
          <a:r>
            <a:rPr lang="en-US" sz="1100" baseline="0">
              <a:solidFill>
                <a:schemeClr val="dk1"/>
              </a:solidFill>
              <a:effectLst/>
              <a:latin typeface="+mn-lt"/>
              <a:ea typeface="+mn-ea"/>
              <a:cs typeface="+mn-cs"/>
            </a:rPr>
            <a:t>tab and be adjusted according to the user's own expectations and local market conditions.  Only default milk, cattle, and feed prices differ when looking at different time horizons.  Other costs will remain fixed.</a:t>
          </a:r>
          <a:endParaRPr lang="en-US">
            <a:effectLst/>
          </a:endParaRPr>
        </a:p>
        <a:p>
          <a:pPr eaLnBrk="1" fontAlgn="auto" latinLnBrk="0" hangingPunct="1"/>
          <a:r>
            <a:rPr lang="en-US" sz="1100" baseline="0">
              <a:solidFill>
                <a:schemeClr val="dk1"/>
              </a:solidFill>
              <a:effectLst/>
              <a:latin typeface="+mn-lt"/>
              <a:ea typeface="+mn-ea"/>
              <a:cs typeface="+mn-cs"/>
            </a:rPr>
            <a:t>             The source of default estimates are noted in the explanations to follow, but most of the production costs are taken from The Center for Farm Financial Management "FINBIN" database (www.finbin.umn.edu).  Values for the previous 15 years are regressed to predict a current year value using a time trend, also smoothing out year-to-year variation.  Values that did not display a time trend were computed as an average over this time period.   </a:t>
          </a:r>
          <a:endParaRPr lang="en-US">
            <a:effectLst/>
          </a:endParaRPr>
        </a:p>
        <a:p>
          <a:pPr>
            <a:tabLst>
              <a:tab pos="457200" algn="l"/>
            </a:tabLst>
          </a:pPr>
          <a:r>
            <a:rPr lang="en-US" sz="1100" baseline="0">
              <a:solidFill>
                <a:schemeClr val="dk1"/>
              </a:solidFill>
              <a:effectLst/>
              <a:latin typeface="+mn-lt"/>
              <a:ea typeface="+mn-ea"/>
              <a:cs typeface="+mn-cs"/>
            </a:rPr>
            <a:t>	This budget assumes all heifers are raised as a seperate enterprise from milking cows.   See the "Cow Milking-Purchased Replacement" budget or "Cow Milking-Raised Replacement" budget to evaluate other scenarios.  </a:t>
          </a:r>
        </a:p>
        <a:p>
          <a:pPr>
            <a:tabLst>
              <a:tab pos="457200" algn="l"/>
            </a:tabLst>
          </a:pPr>
          <a:r>
            <a:rPr lang="en-US" sz="1100" baseline="0">
              <a:solidFill>
                <a:schemeClr val="dk1"/>
              </a:solidFill>
              <a:effectLst/>
              <a:latin typeface="+mn-lt"/>
              <a:ea typeface="+mn-ea"/>
              <a:cs typeface="+mn-cs"/>
            </a:rPr>
            <a:t>	This is a two year budget, assuming it will take two full years to fully develop a heifer and prepare her to enter the milking herd.</a:t>
          </a:r>
          <a:endParaRPr lang="en-US">
            <a:effectLst/>
          </a:endParaRPr>
        </a:p>
        <a:p>
          <a:pPr>
            <a:tabLst>
              <a:tab pos="457200" algn="l"/>
            </a:tabLst>
          </a:pPr>
          <a:endParaRPr lang="en-US" sz="1100" u="sng" baseline="0">
            <a:solidFill>
              <a:schemeClr val="dk1"/>
            </a:solidFill>
            <a:effectLst/>
            <a:latin typeface="+mn-lt"/>
            <a:ea typeface="+mn-ea"/>
            <a:cs typeface="+mn-cs"/>
          </a:endParaRPr>
        </a:p>
        <a:p>
          <a:pPr>
            <a:tabLst>
              <a:tab pos="457200" algn="l"/>
            </a:tabLst>
          </a:pPr>
          <a:r>
            <a:rPr lang="en-US" sz="1100" u="sng" baseline="0">
              <a:solidFill>
                <a:schemeClr val="dk1"/>
              </a:solidFill>
              <a:effectLst/>
              <a:latin typeface="+mn-lt"/>
              <a:ea typeface="+mn-ea"/>
              <a:cs typeface="+mn-cs"/>
            </a:rPr>
            <a:t>Production Efficiency Measures</a:t>
          </a:r>
          <a:endParaRPr lang="en-US">
            <a:effectLst/>
          </a:endParaRPr>
        </a:p>
        <a:p>
          <a:pPr eaLnBrk="1" fontAlgn="auto" latinLnBrk="0" hangingPunct="1">
            <a:tabLst>
              <a:tab pos="457200" algn="l"/>
            </a:tabLst>
          </a:pPr>
          <a:r>
            <a:rPr lang="en-US" sz="1100" b="1" baseline="0">
              <a:solidFill>
                <a:schemeClr val="dk1"/>
              </a:solidFill>
              <a:effectLst/>
              <a:latin typeface="+mn-lt"/>
              <a:ea typeface="+mn-ea"/>
              <a:cs typeface="+mn-cs"/>
            </a:rPr>
            <a:t>Cull Replacements Sold: </a:t>
          </a:r>
          <a:r>
            <a:rPr lang="en-US" sz="1100" b="0" baseline="0">
              <a:solidFill>
                <a:schemeClr val="dk1"/>
              </a:solidFill>
              <a:effectLst/>
              <a:latin typeface="+mn-lt"/>
              <a:ea typeface="+mn-ea"/>
              <a:cs typeface="+mn-cs"/>
            </a:rPr>
            <a:t>Cull replacements sold as non-breeders.</a:t>
          </a:r>
          <a:endParaRPr lang="en-US">
            <a:effectLst/>
          </a:endParaRPr>
        </a:p>
        <a:p>
          <a:pPr eaLnBrk="1" fontAlgn="auto" latinLnBrk="0" hangingPunct="1">
            <a:tabLst>
              <a:tab pos="457200" algn="l"/>
            </a:tabLst>
          </a:pPr>
          <a:r>
            <a:rPr lang="en-US" sz="1100" b="1" baseline="0">
              <a:solidFill>
                <a:schemeClr val="dk1"/>
              </a:solidFill>
              <a:effectLst/>
              <a:latin typeface="+mn-lt"/>
              <a:ea typeface="+mn-ea"/>
              <a:cs typeface="+mn-cs"/>
            </a:rPr>
            <a:t>Cull Yearlings Sold: </a:t>
          </a:r>
          <a:r>
            <a:rPr lang="en-US" sz="1100" b="0" baseline="0">
              <a:solidFill>
                <a:schemeClr val="dk1"/>
              </a:solidFill>
              <a:effectLst/>
              <a:latin typeface="+mn-lt"/>
              <a:ea typeface="+mn-ea"/>
              <a:cs typeface="+mn-cs"/>
            </a:rPr>
            <a:t>Cull replacements sold as yearlings.</a:t>
          </a:r>
          <a:endParaRPr lang="en-US">
            <a:effectLst/>
          </a:endParaRPr>
        </a:p>
        <a:p>
          <a:pPr>
            <a:tabLst>
              <a:tab pos="457200" algn="l"/>
            </a:tabLst>
          </a:pPr>
          <a:r>
            <a:rPr lang="en-US" sz="1100" b="1" baseline="0">
              <a:solidFill>
                <a:schemeClr val="dk1"/>
              </a:solidFill>
              <a:effectLst/>
              <a:latin typeface="+mn-lt"/>
              <a:ea typeface="+mn-ea"/>
              <a:cs typeface="+mn-cs"/>
            </a:rPr>
            <a:t>Replacement Heifer Death Loss: </a:t>
          </a:r>
          <a:r>
            <a:rPr lang="en-US" sz="1100" b="0" baseline="0">
              <a:solidFill>
                <a:schemeClr val="dk1"/>
              </a:solidFill>
              <a:effectLst/>
              <a:latin typeface="+mn-lt"/>
              <a:ea typeface="+mn-ea"/>
              <a:cs typeface="+mn-cs"/>
            </a:rPr>
            <a:t>Percentage of calves/heifers normally lost.</a:t>
          </a:r>
        </a:p>
        <a:p>
          <a:pPr>
            <a:tabLst>
              <a:tab pos="457200" algn="l"/>
            </a:tabLst>
          </a:pPr>
          <a:endParaRPr lang="en-US" sz="1100" b="0"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Returns</a:t>
          </a:r>
          <a:endParaRPr lang="en-US">
            <a:effectLst/>
          </a:endParaRPr>
        </a:p>
        <a:p>
          <a:pPr eaLnBrk="1" fontAlgn="auto" latinLnBrk="0" hangingPunct="1"/>
          <a:r>
            <a:rPr lang="en-US" sz="1100" b="1" baseline="0">
              <a:solidFill>
                <a:schemeClr val="dk1"/>
              </a:solidFill>
              <a:effectLst/>
              <a:latin typeface="+mn-lt"/>
              <a:ea typeface="+mn-ea"/>
              <a:cs typeface="+mn-cs"/>
            </a:rPr>
            <a:t>Springer Heifer Sales: </a:t>
          </a:r>
          <a:r>
            <a:rPr lang="en-US" sz="1100" b="0" baseline="0">
              <a:solidFill>
                <a:schemeClr val="dk1"/>
              </a:solidFill>
              <a:effectLst/>
              <a:latin typeface="+mn-lt"/>
              <a:ea typeface="+mn-ea"/>
              <a:cs typeface="+mn-cs"/>
            </a:rPr>
            <a:t>Replacement Heifer price multiplied by 100% minus cull replacements sold, cull yearlings sold, and death loss.</a:t>
          </a:r>
          <a:endParaRPr lang="en-US">
            <a:effectLst/>
          </a:endParaRPr>
        </a:p>
        <a:p>
          <a:pPr eaLnBrk="1" fontAlgn="auto" latinLnBrk="0" hangingPunct="1"/>
          <a:r>
            <a:rPr lang="en-US" sz="1100" b="1" baseline="0">
              <a:solidFill>
                <a:schemeClr val="dk1"/>
              </a:solidFill>
              <a:effectLst/>
              <a:latin typeface="+mn-lt"/>
              <a:ea typeface="+mn-ea"/>
              <a:cs typeface="+mn-cs"/>
            </a:rPr>
            <a:t>Cull Replacements Sold: </a:t>
          </a:r>
          <a:r>
            <a:rPr lang="en-US" sz="1100" b="0" baseline="0">
              <a:solidFill>
                <a:schemeClr val="dk1"/>
              </a:solidFill>
              <a:effectLst/>
              <a:latin typeface="+mn-lt"/>
              <a:ea typeface="+mn-ea"/>
              <a:cs typeface="+mn-cs"/>
            </a:rPr>
            <a:t>Discounted fed heifer price multiplied by heifer average weight and cull percentage.  </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Cull Yearlings Sold: </a:t>
          </a:r>
          <a:r>
            <a:rPr lang="en-US" sz="1100" b="0" baseline="0">
              <a:solidFill>
                <a:schemeClr val="dk1"/>
              </a:solidFill>
              <a:effectLst/>
              <a:latin typeface="+mn-lt"/>
              <a:ea typeface="+mn-ea"/>
              <a:cs typeface="+mn-cs"/>
            </a:rPr>
            <a:t>Discounted feeder heifer price multiplied by heifer average weight and cull percentage.  </a:t>
          </a:r>
        </a:p>
        <a:p>
          <a:pPr eaLnBrk="1" fontAlgn="auto" latinLnBrk="0" hangingPunct="1"/>
          <a:r>
            <a:rPr lang="en-US" sz="1100" b="1" baseline="0">
              <a:solidFill>
                <a:schemeClr val="dk1"/>
              </a:solidFill>
              <a:effectLst/>
              <a:latin typeface="+mn-lt"/>
              <a:ea typeface="+mn-ea"/>
              <a:cs typeface="+mn-cs"/>
            </a:rPr>
            <a:t>Manure Credit: </a:t>
          </a:r>
          <a:r>
            <a:rPr lang="en-US" sz="1100" b="0" baseline="0">
              <a:solidFill>
                <a:schemeClr val="dk1"/>
              </a:solidFill>
              <a:effectLst/>
              <a:latin typeface="+mn-lt"/>
              <a:ea typeface="+mn-ea"/>
              <a:cs typeface="+mn-cs"/>
            </a:rPr>
            <a:t>Assumes a value for nitrogen and phosphorus if sold or value to field in reduced fertilizer expense. Default is $40 per heifer.</a:t>
          </a:r>
          <a:endParaRPr lang="en-US">
            <a:effectLst/>
          </a:endParaRPr>
        </a:p>
        <a:p>
          <a:pPr>
            <a:tabLst>
              <a:tab pos="457200" algn="l"/>
            </a:tabLst>
          </a:pPr>
          <a:endParaRPr lang="en-US" sz="1100" b="0" baseline="0">
            <a:solidFill>
              <a:schemeClr val="dk1"/>
            </a:solidFill>
            <a:effectLst/>
            <a:latin typeface="+mn-lt"/>
            <a:ea typeface="+mn-ea"/>
            <a:cs typeface="+mn-cs"/>
          </a:endParaRPr>
        </a:p>
      </xdr:txBody>
    </xdr:sp>
    <xdr:clientData/>
  </xdr:twoCellAnchor>
  <xdr:twoCellAnchor>
    <xdr:from>
      <xdr:col>2</xdr:col>
      <xdr:colOff>615951</xdr:colOff>
      <xdr:row>46</xdr:row>
      <xdr:rowOff>19046</xdr:rowOff>
    </xdr:from>
    <xdr:to>
      <xdr:col>9</xdr:col>
      <xdr:colOff>859791</xdr:colOff>
      <xdr:row>88</xdr:row>
      <xdr:rowOff>1676399</xdr:rowOff>
    </xdr:to>
    <xdr:sp macro="" textlink="">
      <xdr:nvSpPr>
        <xdr:cNvPr id="3" name="TextBox 2"/>
        <xdr:cNvSpPr txBox="1"/>
      </xdr:nvSpPr>
      <xdr:spPr>
        <a:xfrm>
          <a:off x="3768726" y="10934696"/>
          <a:ext cx="3749040" cy="9658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Income: </a:t>
          </a:r>
          <a:r>
            <a:rPr lang="en-US" sz="1100" b="0" baseline="0">
              <a:solidFill>
                <a:schemeClr val="dk1"/>
              </a:solidFill>
              <a:effectLst/>
              <a:latin typeface="+mn-lt"/>
              <a:ea typeface="+mn-ea"/>
              <a:cs typeface="+mn-cs"/>
            </a:rPr>
            <a:t>Placeholder for any other income received by the heifer enterprise.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Purchase of Heifer Calf: </a:t>
          </a:r>
          <a:r>
            <a:rPr lang="en-US" sz="1100" b="0" baseline="0">
              <a:solidFill>
                <a:schemeClr val="dk1"/>
              </a:solidFill>
              <a:effectLst/>
              <a:latin typeface="+mn-lt"/>
              <a:ea typeface="+mn-ea"/>
              <a:cs typeface="+mn-cs"/>
            </a:rPr>
            <a:t>Price per head to purchase baby heifer calves.  This way a gross income can be calculated.</a:t>
          </a:r>
          <a:endParaRPr lang="en-US">
            <a:effectLst/>
          </a:endParaRPr>
        </a:p>
        <a:p>
          <a:pPr eaLnBrk="1" fontAlgn="auto" latinLnBrk="0" hangingPunct="1"/>
          <a:endParaRPr lang="en-US" sz="11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Feed Costs: </a:t>
          </a:r>
          <a:r>
            <a:rPr lang="en-US" sz="1100" b="0" baseline="0">
              <a:solidFill>
                <a:schemeClr val="dk1"/>
              </a:solidFill>
              <a:effectLst/>
              <a:latin typeface="+mn-lt"/>
              <a:ea typeface="+mn-ea"/>
              <a:cs typeface="+mn-cs"/>
            </a:rPr>
            <a:t>Enter total dollar feed cost for the entire development of the heifer.  Default is a regression of total feed cost per head in the FINBIN database in relation to corn, soybean, alfalfa, and milk price.  </a:t>
          </a: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FINBIN average labor is near 15 hours per heifer with a total paid labor cost $155 per heifer.  Unpaid Labor and Management is near $87 per heifer, which makes up the other portion of the 15 hours.  These values will vary tremendously depending on the efficiency and level of technology in the operation.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Breeding Fees: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Veterinary: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Fuel &amp; Oil: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Utilities: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Default is FINBIN value.</a:t>
          </a:r>
          <a:endParaRPr lang="en-US">
            <a:effectLst/>
          </a:endParaRPr>
        </a:p>
        <a:p>
          <a:pPr eaLnBrk="1" fontAlgn="auto" latinLnBrk="0" hangingPunct="1"/>
          <a:r>
            <a:rPr lang="en-US" sz="1100" b="1" baseline="0">
              <a:solidFill>
                <a:schemeClr val="dk1"/>
              </a:solidFill>
              <a:effectLst/>
              <a:latin typeface="+mn-lt"/>
              <a:ea typeface="+mn-ea"/>
              <a:cs typeface="+mn-cs"/>
            </a:rPr>
            <a:t>Bedding: </a:t>
          </a:r>
          <a:r>
            <a:rPr lang="en-US" sz="1100" b="0" baseline="0">
              <a:solidFill>
                <a:schemeClr val="dk1"/>
              </a:solidFill>
              <a:effectLst/>
              <a:latin typeface="+mn-lt"/>
              <a:ea typeface="+mn-ea"/>
              <a:cs typeface="+mn-cs"/>
            </a:rPr>
            <a:t>Default is FINBIN value.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Custom Hire: </a:t>
          </a:r>
          <a:r>
            <a:rPr lang="en-US" sz="1100" b="0" baseline="0">
              <a:solidFill>
                <a:schemeClr val="dk1"/>
              </a:solidFill>
              <a:effectLst/>
              <a:latin typeface="+mn-lt"/>
              <a:ea typeface="+mn-ea"/>
              <a:cs typeface="+mn-cs"/>
            </a:rPr>
            <a:t>Default is FINBIN value for expenses related to manure hauling, hoof trimming, and other hired expenses. </a:t>
          </a:r>
          <a:endParaRPr lang="en-US">
            <a:effectLst/>
          </a:endParaRPr>
        </a:p>
        <a:p>
          <a:pPr eaLnBrk="1" fontAlgn="auto" latinLnBrk="0" hangingPunct="1"/>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Default is FINBIN value.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FINBIN value for any "Dairy Supplies", Operating Interest, and Marketing.  Enter other misc. items as needed.</a:t>
          </a:r>
          <a:endParaRPr lang="en-US">
            <a:effectLst/>
          </a:endParaRPr>
        </a:p>
        <a:p>
          <a:pPr eaLnBrk="1" fontAlgn="auto" latinLnBrk="0" hangingPunct="1"/>
          <a:endParaRPr lang="en-US" sz="1100" i="1">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Fixed Costs </a:t>
          </a:r>
          <a:endParaRPr lang="en-US">
            <a:effectLst/>
          </a:endParaRP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Default is based on FINBIN values for buildings and machinery only.  Livestock depreciation is captured in herd turnover.</a:t>
          </a:r>
          <a:endParaRPr lang="en-US">
            <a:effectLst/>
          </a:endParaRP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Default is FINBIN value.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This is not a cost listed in the FINBIN database, but typically the Kansas Farm Management Association (KFMA) has this near 5.5% of total costs for Kansas dairies.</a:t>
          </a:r>
          <a:endParaRPr lang="en-US">
            <a:effectLst/>
          </a:endParaRPr>
        </a:p>
        <a:p>
          <a:pPr eaLnBrk="1" fontAlgn="auto" latinLnBrk="0" hangingPunct="1"/>
          <a:r>
            <a:rPr lang="en-US" sz="1100" b="1" baseline="0">
              <a:solidFill>
                <a:schemeClr val="dk1"/>
              </a:solidFill>
              <a:effectLst/>
              <a:latin typeface="+mn-lt"/>
              <a:ea typeface="+mn-ea"/>
              <a:cs typeface="+mn-cs"/>
            </a:rPr>
            <a:t>Other Fixed Costs: </a:t>
          </a:r>
          <a:r>
            <a:rPr lang="en-US" sz="1100" b="0" baseline="0">
              <a:solidFill>
                <a:schemeClr val="dk1"/>
              </a:solidFill>
              <a:effectLst/>
              <a:latin typeface="+mn-lt"/>
              <a:ea typeface="+mn-ea"/>
              <a:cs typeface="+mn-cs"/>
            </a:rPr>
            <a:t>Default is FINBIN value for building and equipment leases, and other fixed overhead.  Add other fixed costs as needed.  </a:t>
          </a:r>
          <a:endParaRPr lang="en-US">
            <a:effectLst/>
          </a:endParaRPr>
        </a:p>
        <a:p>
          <a:endParaRPr lang="en-US" sz="1100" i="1">
            <a:solidFill>
              <a:schemeClr val="dk1"/>
            </a:solidFill>
            <a:effectLst/>
            <a:latin typeface="+mn-lt"/>
            <a:ea typeface="+mn-ea"/>
            <a:cs typeface="+mn-cs"/>
          </a:endParaRP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*Note:</a:t>
          </a:r>
          <a:r>
            <a:rPr lang="en-US" sz="1100" i="1" baseline="0">
              <a:solidFill>
                <a:schemeClr val="dk1"/>
              </a:solidFill>
              <a:effectLst/>
              <a:latin typeface="+mn-lt"/>
              <a:ea typeface="+mn-ea"/>
              <a:cs typeface="+mn-cs"/>
            </a:rPr>
            <a:t> FINBIN defaults are based on an average of 483 farms with a current average inventory of 171 heifers.  </a:t>
          </a:r>
          <a:endParaRPr lang="en-US">
            <a:effectLst/>
          </a:endParaRPr>
        </a:p>
        <a:p>
          <a:pPr eaLnBrk="1" fontAlgn="auto" latinLnBrk="0" hangingPunct="1"/>
          <a:endParaRPr lang="en-US">
            <a:effectLst/>
          </a:endParaRPr>
        </a:p>
      </xdr:txBody>
    </xdr:sp>
    <xdr:clientData/>
  </xdr:twoCellAnchor>
  <xdr:twoCellAnchor>
    <xdr:from>
      <xdr:col>0</xdr:col>
      <xdr:colOff>59531</xdr:colOff>
      <xdr:row>125</xdr:row>
      <xdr:rowOff>1</xdr:rowOff>
    </xdr:from>
    <xdr:to>
      <xdr:col>9</xdr:col>
      <xdr:colOff>762001</xdr:colOff>
      <xdr:row>128</xdr:row>
      <xdr:rowOff>171451</xdr:rowOff>
    </xdr:to>
    <xdr:sp macro="" textlink="">
      <xdr:nvSpPr>
        <xdr:cNvPr id="4" name="TextBox 3"/>
        <xdr:cNvSpPr txBox="1"/>
      </xdr:nvSpPr>
      <xdr:spPr>
        <a:xfrm>
          <a:off x="59531" y="25679401"/>
          <a:ext cx="674132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Robin Reid	</a:t>
          </a:r>
          <a:r>
            <a:rPr lang="en-US" sz="1000" baseline="0"/>
            <a:t>                        </a:t>
          </a:r>
          <a:r>
            <a:rPr lang="en-US" sz="1000"/>
            <a:t>Glynn</a:t>
          </a:r>
          <a:r>
            <a:rPr lang="en-US" sz="1000" baseline="0"/>
            <a:t> Tonsor	               </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Extension Assoicate            Assistant Professor</a:t>
          </a:r>
          <a:r>
            <a:rPr lang="en-US" sz="1000" baseline="0"/>
            <a:t>             </a:t>
          </a:r>
        </a:p>
        <a:p>
          <a:pPr marL="0" marR="0" indent="0" defTabSz="914400" eaLnBrk="1" fontAlgn="auto" latinLnBrk="0" hangingPunct="1">
            <a:lnSpc>
              <a:spcPct val="100000"/>
            </a:lnSpc>
            <a:spcBef>
              <a:spcPts val="0"/>
            </a:spcBef>
            <a:spcAft>
              <a:spcPts val="0"/>
            </a:spcAft>
            <a:buClrTx/>
            <a:buSzTx/>
            <a:buFontTx/>
            <a:buNone/>
            <a:tabLst/>
            <a:defRPr/>
          </a:pPr>
          <a:r>
            <a:rPr lang="en-US" sz="1000"/>
            <a:t>KSU-Ag. Economics</a:t>
          </a:r>
          <a:r>
            <a:rPr lang="en-US" sz="1000" baseline="0"/>
            <a:t>             </a:t>
          </a:r>
          <a:r>
            <a:rPr lang="en-US" sz="1000">
              <a:solidFill>
                <a:schemeClr val="dk1"/>
              </a:solidFill>
              <a:effectLst/>
              <a:latin typeface="+mn-lt"/>
              <a:ea typeface="+mn-ea"/>
              <a:cs typeface="+mn-cs"/>
            </a:rPr>
            <a:t>KSU-Ag. Economics</a:t>
          </a:r>
          <a:r>
            <a:rPr lang="en-US" sz="1000" baseline="0">
              <a:solidFill>
                <a:schemeClr val="dk1"/>
              </a:solidFill>
              <a:effectLst/>
              <a:latin typeface="+mn-lt"/>
              <a:ea typeface="+mn-ea"/>
              <a:cs typeface="+mn-cs"/>
            </a:rPr>
            <a:t>             </a:t>
          </a:r>
          <a:endParaRPr lang="en-US" sz="1000"/>
        </a:p>
      </xdr:txBody>
    </xdr:sp>
    <xdr:clientData/>
  </xdr:twoCellAnchor>
  <mc:AlternateContent xmlns:mc="http://schemas.openxmlformats.org/markup-compatibility/2006">
    <mc:Choice xmlns:a14="http://schemas.microsoft.com/office/drawing/2010/main" Requires="a14">
      <xdr:twoCellAnchor>
        <xdr:from>
          <xdr:col>12</xdr:col>
          <xdr:colOff>0</xdr:colOff>
          <xdr:row>2</xdr:row>
          <xdr:rowOff>76200</xdr:rowOff>
        </xdr:from>
        <xdr:to>
          <xdr:col>15</xdr:col>
          <xdr:colOff>514350</xdr:colOff>
          <xdr:row>4</xdr:row>
          <xdr:rowOff>28575</xdr:rowOff>
        </xdr:to>
        <xdr:sp macro="" textlink="">
          <xdr:nvSpPr>
            <xdr:cNvPr id="15364" name="Button 4" hidden="1">
              <a:extLst>
                <a:ext uri="{63B3BB69-23CF-44E3-9099-C40C66FF867C}">
                  <a14:compatExt spid="_x0000_s1536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600075</xdr:colOff>
          <xdr:row>5</xdr:row>
          <xdr:rowOff>38100</xdr:rowOff>
        </xdr:from>
        <xdr:to>
          <xdr:col>15</xdr:col>
          <xdr:colOff>514350</xdr:colOff>
          <xdr:row>6</xdr:row>
          <xdr:rowOff>104775</xdr:rowOff>
        </xdr:to>
        <xdr:sp macro="" textlink="">
          <xdr:nvSpPr>
            <xdr:cNvPr id="15365" name="Button 5" hidden="1">
              <a:extLst>
                <a:ext uri="{63B3BB69-23CF-44E3-9099-C40C66FF867C}">
                  <a14:compatExt spid="_x0000_s1536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 &amp; Explanation Pages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obinreid\Documents\Livestock%20Budgets\KSU%20Livestock%20Farm%20Management%20Guides%20-Robin(3.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rices"/>
      <sheetName val="Feed"/>
      <sheetName val="Cow-Calf"/>
      <sheetName val="Backgrounding"/>
      <sheetName val="Stocker"/>
      <sheetName val="Feedlot"/>
      <sheetName val="Dairy Cows"/>
    </sheetNames>
    <sheetDataSet>
      <sheetData sheetId="0">
        <row r="2">
          <cell r="D2">
            <v>42066</v>
          </cell>
        </row>
      </sheetData>
      <sheetData sheetId="1">
        <row r="1">
          <cell r="A1" t="str">
            <v>Current Prices</v>
          </cell>
        </row>
        <row r="2">
          <cell r="A2" t="str">
            <v>One Year Out Prices</v>
          </cell>
        </row>
        <row r="3">
          <cell r="A3" t="str">
            <v>Five Years Out Prices</v>
          </cell>
        </row>
      </sheetData>
      <sheetData sheetId="2">
        <row r="20">
          <cell r="I20">
            <v>1.5</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tonsor@k-state.edu" TargetMode="External"/><Relationship Id="rId1" Type="http://schemas.openxmlformats.org/officeDocument/2006/relationships/hyperlink" Target="mailto:robinreid@ksu.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pageSetUpPr fitToPage="1"/>
  </sheetPr>
  <dimension ref="B1:X48"/>
  <sheetViews>
    <sheetView showGridLines="0" tabSelected="1" zoomScale="92" zoomScaleNormal="100" workbookViewId="0">
      <selection activeCell="B48" sqref="B48"/>
    </sheetView>
  </sheetViews>
  <sheetFormatPr defaultRowHeight="12.75" x14ac:dyDescent="0.2"/>
  <cols>
    <col min="1" max="1" width="3.5703125" style="183" customWidth="1"/>
    <col min="2" max="4" width="9.140625" style="183"/>
    <col min="5" max="5" width="9" style="183" customWidth="1"/>
    <col min="6" max="11" width="9.140625" style="183"/>
    <col min="12" max="12" width="23.28515625" style="183" customWidth="1"/>
    <col min="13" max="13" width="3.7109375" style="183" customWidth="1"/>
    <col min="14" max="16384" width="9.140625" style="183"/>
  </cols>
  <sheetData>
    <row r="1" spans="2:24" ht="10.5" customHeight="1" thickBot="1" x14ac:dyDescent="0.25"/>
    <row r="2" spans="2:24" ht="7.5" customHeight="1" x14ac:dyDescent="0.25">
      <c r="B2" s="184"/>
      <c r="C2" s="185"/>
      <c r="D2" s="185"/>
      <c r="E2" s="185"/>
      <c r="F2" s="185"/>
      <c r="G2" s="185"/>
      <c r="H2" s="185"/>
      <c r="I2" s="185"/>
      <c r="J2" s="185"/>
      <c r="K2" s="185"/>
      <c r="L2" s="186"/>
    </row>
    <row r="3" spans="2:24" ht="26.25" x14ac:dyDescent="0.4">
      <c r="B3" s="187" t="s">
        <v>230</v>
      </c>
      <c r="C3" s="188"/>
      <c r="D3" s="188"/>
      <c r="E3" s="188"/>
      <c r="F3" s="188"/>
      <c r="G3" s="188"/>
      <c r="H3" s="189"/>
      <c r="I3" s="189"/>
      <c r="J3" s="190"/>
      <c r="K3" s="190"/>
      <c r="L3" s="191"/>
    </row>
    <row r="4" spans="2:24" ht="18" customHeight="1" x14ac:dyDescent="0.3">
      <c r="B4" s="192"/>
      <c r="C4" s="193"/>
      <c r="D4" s="194"/>
      <c r="E4" s="194"/>
      <c r="F4" s="195"/>
      <c r="G4" s="195"/>
      <c r="H4" s="189"/>
      <c r="I4" s="189"/>
      <c r="J4" s="190"/>
      <c r="K4" s="190"/>
      <c r="L4" s="191"/>
    </row>
    <row r="5" spans="2:24" ht="15.75" customHeight="1" x14ac:dyDescent="0.25">
      <c r="B5" s="222" t="s">
        <v>247</v>
      </c>
      <c r="C5" s="223"/>
      <c r="D5" s="223"/>
      <c r="E5" s="223"/>
      <c r="F5" s="223"/>
      <c r="G5" s="223"/>
      <c r="H5" s="223"/>
      <c r="I5" s="223"/>
      <c r="J5" s="190"/>
      <c r="K5" s="190"/>
      <c r="L5" s="191"/>
      <c r="N5" s="225"/>
      <c r="O5" s="226"/>
      <c r="P5" s="226"/>
      <c r="Q5" s="226"/>
      <c r="R5" s="226"/>
      <c r="S5" s="226"/>
      <c r="T5" s="226"/>
      <c r="U5" s="226"/>
      <c r="V5" s="226"/>
      <c r="W5" s="226"/>
      <c r="X5" s="226"/>
    </row>
    <row r="6" spans="2:24" ht="15.75" x14ac:dyDescent="0.25">
      <c r="B6" s="224"/>
      <c r="C6" s="223"/>
      <c r="D6" s="223"/>
      <c r="E6" s="223"/>
      <c r="F6" s="223"/>
      <c r="G6" s="223"/>
      <c r="H6" s="223"/>
      <c r="I6" s="223"/>
      <c r="J6" s="190"/>
      <c r="K6" s="190"/>
      <c r="L6" s="191"/>
      <c r="N6" s="226"/>
      <c r="O6" s="226"/>
      <c r="P6" s="226"/>
      <c r="Q6" s="226"/>
      <c r="R6" s="226"/>
      <c r="S6" s="226"/>
      <c r="T6" s="226"/>
      <c r="U6" s="226"/>
      <c r="V6" s="226"/>
      <c r="W6" s="226"/>
      <c r="X6" s="226"/>
    </row>
    <row r="7" spans="2:24" ht="5.25" customHeight="1" x14ac:dyDescent="0.25">
      <c r="B7" s="196"/>
      <c r="C7" s="197"/>
      <c r="D7" s="197"/>
      <c r="E7" s="197"/>
      <c r="F7" s="197"/>
      <c r="G7" s="197"/>
      <c r="H7" s="197"/>
      <c r="I7" s="190"/>
      <c r="J7" s="190"/>
      <c r="K7" s="198"/>
      <c r="L7" s="199"/>
    </row>
    <row r="8" spans="2:24" ht="13.5" customHeight="1" thickBot="1" x14ac:dyDescent="0.3">
      <c r="B8" s="200"/>
      <c r="C8" s="227"/>
      <c r="D8" s="228"/>
      <c r="E8" s="229"/>
      <c r="F8" s="230"/>
      <c r="G8" s="201"/>
      <c r="H8" s="201"/>
      <c r="I8" s="201"/>
      <c r="J8" s="201"/>
      <c r="K8" s="202"/>
      <c r="L8" s="203" t="s">
        <v>248</v>
      </c>
      <c r="N8" s="231"/>
    </row>
    <row r="9" spans="2:24" ht="9.75" customHeight="1" x14ac:dyDescent="0.25">
      <c r="B9" s="204"/>
      <c r="C9" s="204"/>
      <c r="D9" s="204"/>
      <c r="E9" s="204"/>
      <c r="F9" s="204"/>
      <c r="G9" s="205"/>
      <c r="H9" s="204"/>
      <c r="I9" s="204"/>
      <c r="J9" s="204"/>
      <c r="K9" s="204"/>
      <c r="L9" s="204"/>
      <c r="N9" s="231"/>
    </row>
    <row r="28" spans="2:12" ht="15.75" x14ac:dyDescent="0.25">
      <c r="B28" s="206" t="s">
        <v>231</v>
      </c>
      <c r="C28" s="207"/>
      <c r="D28" s="207"/>
      <c r="E28" s="207"/>
      <c r="F28" s="208"/>
      <c r="G28" s="208"/>
      <c r="H28" s="208"/>
      <c r="I28" s="208"/>
      <c r="J28" s="208"/>
      <c r="K28" s="208"/>
      <c r="L28" s="208"/>
    </row>
    <row r="29" spans="2:12" x14ac:dyDescent="0.2">
      <c r="B29" s="232" t="s">
        <v>232</v>
      </c>
      <c r="C29" s="232"/>
      <c r="D29" s="232"/>
      <c r="E29" s="232"/>
      <c r="F29" s="232"/>
      <c r="G29" s="232"/>
      <c r="H29" s="232"/>
      <c r="I29" s="232"/>
      <c r="J29" s="232"/>
      <c r="K29" s="232"/>
      <c r="L29" s="232"/>
    </row>
    <row r="30" spans="2:12" ht="48" customHeight="1" x14ac:dyDescent="0.2">
      <c r="B30" s="232"/>
      <c r="C30" s="232"/>
      <c r="D30" s="232"/>
      <c r="E30" s="232"/>
      <c r="F30" s="232"/>
      <c r="G30" s="232"/>
      <c r="H30" s="232"/>
      <c r="I30" s="232"/>
      <c r="J30" s="232"/>
      <c r="K30" s="232"/>
      <c r="L30" s="232"/>
    </row>
    <row r="31" spans="2:12" ht="19.5" customHeight="1" x14ac:dyDescent="0.25">
      <c r="B31" s="233" t="s">
        <v>233</v>
      </c>
      <c r="C31" s="234"/>
      <c r="D31" s="234"/>
      <c r="E31" s="234"/>
      <c r="F31" s="209"/>
      <c r="G31" s="210"/>
      <c r="H31" s="209"/>
      <c r="I31" s="209"/>
      <c r="J31" s="209"/>
      <c r="K31" s="209"/>
      <c r="L31" s="209"/>
    </row>
    <row r="32" spans="2:12" ht="15.75" customHeight="1" x14ac:dyDescent="0.2">
      <c r="B32" s="235" t="s">
        <v>234</v>
      </c>
      <c r="C32" s="235"/>
      <c r="D32" s="235"/>
      <c r="E32" s="235"/>
      <c r="F32" s="235"/>
      <c r="G32" s="235"/>
      <c r="H32" s="235"/>
      <c r="I32" s="235"/>
      <c r="J32" s="235"/>
      <c r="K32" s="235"/>
      <c r="L32" s="235"/>
    </row>
    <row r="33" spans="2:17" ht="15.75" customHeight="1" x14ac:dyDescent="0.2">
      <c r="B33" s="235"/>
      <c r="C33" s="235"/>
      <c r="D33" s="235"/>
      <c r="E33" s="235"/>
      <c r="F33" s="235"/>
      <c r="G33" s="235"/>
      <c r="H33" s="235"/>
      <c r="I33" s="235"/>
      <c r="J33" s="235"/>
      <c r="K33" s="235"/>
      <c r="L33" s="235"/>
    </row>
    <row r="34" spans="2:17" ht="12.75" customHeight="1" x14ac:dyDescent="0.2">
      <c r="C34" s="211"/>
      <c r="D34" s="211"/>
      <c r="E34" s="211"/>
      <c r="F34" s="211"/>
      <c r="G34" s="211"/>
      <c r="H34" s="211"/>
      <c r="I34" s="211"/>
      <c r="J34" s="211"/>
      <c r="K34" s="211"/>
      <c r="L34" s="211"/>
    </row>
    <row r="35" spans="2:17" ht="12.75" customHeight="1" x14ac:dyDescent="0.2">
      <c r="B35" s="211"/>
      <c r="C35" s="211"/>
      <c r="D35" s="211"/>
      <c r="E35" s="211"/>
      <c r="F35" s="211"/>
      <c r="G35" s="211"/>
      <c r="H35" s="211"/>
      <c r="I35" s="211"/>
      <c r="J35" s="211"/>
      <c r="K35" s="211"/>
      <c r="L35" s="211"/>
    </row>
    <row r="36" spans="2:17" ht="15.75" hidden="1" x14ac:dyDescent="0.25">
      <c r="B36" s="212"/>
      <c r="C36" s="212"/>
      <c r="D36" s="212"/>
      <c r="E36" s="212"/>
      <c r="F36" s="212"/>
      <c r="G36" s="212"/>
      <c r="H36" s="212"/>
      <c r="I36" s="212"/>
      <c r="J36" s="212"/>
      <c r="K36" s="212"/>
      <c r="L36" s="212"/>
    </row>
    <row r="37" spans="2:17" ht="15.75" x14ac:dyDescent="0.25">
      <c r="B37" s="213" t="s">
        <v>235</v>
      </c>
      <c r="C37" s="208"/>
      <c r="D37" s="209"/>
      <c r="E37" s="209"/>
      <c r="F37" s="209"/>
      <c r="G37" s="209"/>
      <c r="H37" s="209"/>
      <c r="I37" s="209"/>
      <c r="J37" s="209"/>
      <c r="K37" s="209"/>
      <c r="L37" s="209"/>
    </row>
    <row r="38" spans="2:17" ht="18" customHeight="1" x14ac:dyDescent="0.2">
      <c r="B38" s="236" t="s">
        <v>236</v>
      </c>
      <c r="C38" s="236"/>
      <c r="D38" s="236"/>
      <c r="E38" s="236"/>
      <c r="F38" s="236"/>
      <c r="G38" s="236"/>
      <c r="H38" s="236"/>
      <c r="I38" s="236"/>
      <c r="J38" s="236"/>
      <c r="K38" s="236"/>
      <c r="L38" s="236"/>
    </row>
    <row r="39" spans="2:17" ht="12.75" customHeight="1" x14ac:dyDescent="0.2">
      <c r="B39" s="236"/>
      <c r="C39" s="236"/>
      <c r="D39" s="236"/>
      <c r="E39" s="236"/>
      <c r="F39" s="236"/>
      <c r="G39" s="236"/>
      <c r="H39" s="236"/>
      <c r="I39" s="236"/>
      <c r="J39" s="236"/>
      <c r="K39" s="236"/>
      <c r="L39" s="236"/>
    </row>
    <row r="40" spans="2:17" ht="15.75" x14ac:dyDescent="0.25">
      <c r="B40" s="208" t="s">
        <v>237</v>
      </c>
      <c r="C40" s="208"/>
      <c r="D40" s="208"/>
      <c r="E40" s="214"/>
      <c r="F40" s="208"/>
      <c r="G40" s="208"/>
      <c r="H40" s="208" t="s">
        <v>238</v>
      </c>
      <c r="I40" s="208"/>
      <c r="J40" s="208"/>
      <c r="K40" s="208"/>
      <c r="L40" s="208"/>
      <c r="P40" s="215"/>
      <c r="Q40" s="215"/>
    </row>
    <row r="41" spans="2:17" ht="15.75" x14ac:dyDescent="0.25">
      <c r="B41" s="208" t="s">
        <v>239</v>
      </c>
      <c r="C41" s="208"/>
      <c r="D41" s="208"/>
      <c r="E41" s="214"/>
      <c r="F41" s="208"/>
      <c r="G41" s="208"/>
      <c r="H41" s="208" t="s">
        <v>240</v>
      </c>
      <c r="I41" s="208"/>
      <c r="J41" s="208"/>
      <c r="K41" s="208"/>
      <c r="L41" s="208"/>
      <c r="P41" s="215"/>
      <c r="Q41" s="215"/>
    </row>
    <row r="42" spans="2:17" ht="15.75" x14ac:dyDescent="0.25">
      <c r="B42" s="208" t="s">
        <v>241</v>
      </c>
      <c r="C42" s="208"/>
      <c r="D42" s="208"/>
      <c r="E42" s="208"/>
      <c r="F42" s="208"/>
      <c r="G42" s="208"/>
      <c r="H42" s="208" t="s">
        <v>241</v>
      </c>
      <c r="I42" s="208"/>
      <c r="J42" s="208"/>
      <c r="K42" s="208"/>
      <c r="L42" s="208"/>
      <c r="P42" s="237"/>
      <c r="Q42" s="237"/>
    </row>
    <row r="43" spans="2:17" ht="15.75" x14ac:dyDescent="0.25">
      <c r="B43" s="208" t="s">
        <v>242</v>
      </c>
      <c r="C43" s="207"/>
      <c r="D43" s="207"/>
      <c r="E43" s="208"/>
      <c r="F43" s="208"/>
      <c r="G43" s="216"/>
      <c r="H43" s="208" t="s">
        <v>242</v>
      </c>
      <c r="I43" s="208"/>
      <c r="J43" s="208"/>
      <c r="K43" s="208"/>
      <c r="L43" s="208"/>
    </row>
    <row r="44" spans="2:17" ht="15.75" x14ac:dyDescent="0.25">
      <c r="B44" s="217" t="s">
        <v>243</v>
      </c>
      <c r="C44" s="218"/>
      <c r="D44" s="207"/>
      <c r="E44" s="208"/>
      <c r="F44" s="208"/>
      <c r="G44" s="216"/>
      <c r="H44" s="238" t="s">
        <v>244</v>
      </c>
      <c r="I44" s="234"/>
      <c r="J44" s="234"/>
      <c r="K44" s="208"/>
      <c r="L44" s="208"/>
    </row>
    <row r="45" spans="2:17" ht="15.75" x14ac:dyDescent="0.25">
      <c r="B45" s="219" t="s">
        <v>245</v>
      </c>
      <c r="C45" s="209"/>
      <c r="D45" s="208"/>
      <c r="E45" s="208"/>
      <c r="F45" s="208"/>
      <c r="G45" s="208"/>
      <c r="H45" s="219" t="s">
        <v>246</v>
      </c>
      <c r="I45" s="218"/>
      <c r="J45" s="207"/>
      <c r="K45" s="208"/>
      <c r="L45" s="208"/>
    </row>
    <row r="46" spans="2:17" ht="12.75" customHeight="1" x14ac:dyDescent="0.25">
      <c r="B46" s="208"/>
      <c r="C46" s="220"/>
      <c r="D46" s="220"/>
      <c r="E46" s="220"/>
      <c r="F46" s="220"/>
      <c r="G46" s="220"/>
      <c r="H46" s="220"/>
      <c r="I46" s="220"/>
      <c r="J46" s="220"/>
      <c r="K46" s="220"/>
      <c r="L46" s="220"/>
    </row>
    <row r="47" spans="2:17" ht="16.5" customHeight="1" x14ac:dyDescent="0.25">
      <c r="B47" s="221" t="s">
        <v>249</v>
      </c>
      <c r="C47" s="221"/>
      <c r="D47" s="221"/>
      <c r="E47" s="221"/>
      <c r="F47" s="221"/>
      <c r="G47" s="221"/>
      <c r="H47" s="221"/>
      <c r="I47" s="221"/>
      <c r="J47" s="221"/>
      <c r="K47" s="221"/>
      <c r="L47" s="220"/>
    </row>
    <row r="48" spans="2:17" ht="15.75" x14ac:dyDescent="0.25">
      <c r="B48" s="220"/>
    </row>
  </sheetData>
  <sheetProtection algorithmName="SHA-512" hashValue="/w1NMlzijOV7Y+pNqKx9hX57bJJAfSibDuJvHQ0tPWAbY7DcLamYqqWDBM6+oDkLpGp3wludHCMtqq7s60WNHA==" saltValue="kb7u1xso1/7y/ZAs9Ig9xQ==" spinCount="100000" sheet="1" objects="1" scenarios="1"/>
  <mergeCells count="12">
    <mergeCell ref="B47:K47"/>
    <mergeCell ref="B5:I6"/>
    <mergeCell ref="N5:X6"/>
    <mergeCell ref="C8:D8"/>
    <mergeCell ref="E8:F8"/>
    <mergeCell ref="N8:N9"/>
    <mergeCell ref="B29:L30"/>
    <mergeCell ref="B31:E31"/>
    <mergeCell ref="B32:L33"/>
    <mergeCell ref="B38:L39"/>
    <mergeCell ref="P42:Q42"/>
    <mergeCell ref="H44:J44"/>
  </mergeCells>
  <hyperlinks>
    <hyperlink ref="B44" r:id="rId1"/>
    <hyperlink ref="H44" r:id="rId2"/>
  </hyperlinks>
  <printOptions horizontalCentered="1"/>
  <pageMargins left="0.75" right="0.75" top="1" bottom="1" header="0.5" footer="0.5"/>
  <pageSetup scale="74" orientation="portrait" r:id="rId3"/>
  <headerFooter alignWithMargins="0">
    <oddHeader>&amp;R&amp;D</oddHeader>
    <oddFooter>&amp;A</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M30"/>
  <sheetViews>
    <sheetView workbookViewId="0">
      <selection activeCell="L21" sqref="L21"/>
    </sheetView>
  </sheetViews>
  <sheetFormatPr defaultRowHeight="15" x14ac:dyDescent="0.25"/>
  <cols>
    <col min="1" max="1" width="31.7109375" bestFit="1" customWidth="1"/>
    <col min="2" max="2" width="23.7109375" bestFit="1" customWidth="1"/>
    <col min="3" max="3" width="19" hidden="1" customWidth="1"/>
    <col min="4" max="4" width="23.7109375" bestFit="1" customWidth="1"/>
    <col min="5" max="5" width="11.28515625" hidden="1" customWidth="1"/>
    <col min="6" max="6" width="9.140625" hidden="1" customWidth="1"/>
    <col min="7" max="7" width="19.7109375" bestFit="1" customWidth="1"/>
    <col min="8" max="8" width="29.85546875" hidden="1" customWidth="1"/>
    <col min="13" max="13" width="11.5703125" bestFit="1" customWidth="1"/>
  </cols>
  <sheetData>
    <row r="1" spans="1:8" x14ac:dyDescent="0.25">
      <c r="A1" s="36" t="s">
        <v>1</v>
      </c>
    </row>
    <row r="2" spans="1:8" x14ac:dyDescent="0.25">
      <c r="A2" s="36" t="s">
        <v>41</v>
      </c>
    </row>
    <row r="3" spans="1:8" x14ac:dyDescent="0.25">
      <c r="A3" s="36" t="s">
        <v>42</v>
      </c>
    </row>
    <row r="4" spans="1:8" x14ac:dyDescent="0.25">
      <c r="B4" s="47" t="str">
        <f>A1</f>
        <v>Current Prices</v>
      </c>
      <c r="C4" s="48"/>
      <c r="D4" s="49" t="str">
        <f>A2</f>
        <v>One Year Out Prices</v>
      </c>
      <c r="E4" s="50"/>
      <c r="G4" s="51" t="str">
        <f>A3</f>
        <v>Five Years Out Prices</v>
      </c>
      <c r="H4" s="52"/>
    </row>
    <row r="5" spans="1:8" x14ac:dyDescent="0.25">
      <c r="B5" s="53" t="s">
        <v>250</v>
      </c>
      <c r="C5" s="48">
        <v>0</v>
      </c>
      <c r="D5" s="182" t="s">
        <v>250</v>
      </c>
      <c r="E5" s="50">
        <v>0</v>
      </c>
      <c r="F5">
        <v>0</v>
      </c>
      <c r="G5" s="54" t="s">
        <v>251</v>
      </c>
      <c r="H5" s="52"/>
    </row>
    <row r="6" spans="1:8" x14ac:dyDescent="0.25">
      <c r="A6" t="s">
        <v>252</v>
      </c>
      <c r="B6" s="157">
        <v>3.42</v>
      </c>
      <c r="C6" s="158">
        <v>0</v>
      </c>
      <c r="D6" s="159">
        <v>3.82</v>
      </c>
      <c r="E6" s="160">
        <v>0</v>
      </c>
      <c r="F6" s="161">
        <v>0</v>
      </c>
      <c r="G6" s="162">
        <v>3.5</v>
      </c>
      <c r="H6" s="55"/>
    </row>
    <row r="7" spans="1:8" x14ac:dyDescent="0.25">
      <c r="A7" t="s">
        <v>253</v>
      </c>
      <c r="B7" s="157">
        <v>9.0500000000000007</v>
      </c>
      <c r="C7" s="158">
        <v>0</v>
      </c>
      <c r="D7" s="159">
        <v>9.3800000000000008</v>
      </c>
      <c r="E7" s="160">
        <v>0</v>
      </c>
      <c r="F7" s="161">
        <v>0</v>
      </c>
      <c r="G7" s="162">
        <v>9.4499999999999993</v>
      </c>
      <c r="H7" s="55"/>
    </row>
    <row r="8" spans="1:8" x14ac:dyDescent="0.25">
      <c r="A8" t="s">
        <v>254</v>
      </c>
      <c r="B8" s="157">
        <v>165</v>
      </c>
      <c r="C8" s="163">
        <v>0</v>
      </c>
      <c r="D8" s="159">
        <v>184.2982456140351</v>
      </c>
      <c r="E8" s="160">
        <v>0</v>
      </c>
      <c r="F8" s="161">
        <v>0</v>
      </c>
      <c r="G8" s="162">
        <v>168.85964912280701</v>
      </c>
      <c r="H8" s="52"/>
    </row>
    <row r="9" spans="1:8" x14ac:dyDescent="0.25">
      <c r="A9" t="s">
        <v>216</v>
      </c>
      <c r="B9" s="157">
        <f>(51/56*B6)+(8/60*B7)+(41/2000*B8)</f>
        <v>7.7038095238095243</v>
      </c>
      <c r="C9" s="164"/>
      <c r="D9" s="159">
        <f>(51/56*D6)+(8/60*D7)+(41/2000*D8)</f>
        <v>8.5077092731829573</v>
      </c>
      <c r="E9" s="159"/>
      <c r="F9" s="165"/>
      <c r="G9" s="162">
        <f>(51/56*G6)+(8/60*G7)+(41/2000*G8)</f>
        <v>7.9091228070175443</v>
      </c>
      <c r="H9" s="52"/>
    </row>
    <row r="10" spans="1:8" x14ac:dyDescent="0.25">
      <c r="A10" t="s">
        <v>126</v>
      </c>
      <c r="B10" s="157">
        <f>B13/B9</f>
        <v>1.9990110025961181</v>
      </c>
      <c r="C10" s="157"/>
      <c r="D10" s="159">
        <f>D13/D9</f>
        <v>1.998187697079105</v>
      </c>
      <c r="E10" s="159"/>
      <c r="F10" s="165"/>
      <c r="G10" s="162">
        <f>G13/G9</f>
        <v>2.3643582804667047</v>
      </c>
      <c r="H10" s="52"/>
    </row>
    <row r="11" spans="1:8" x14ac:dyDescent="0.25">
      <c r="A11" t="s">
        <v>215</v>
      </c>
      <c r="B11" s="157">
        <f>ROUND(-131.525+(200.6741*B9)+(-8.622756*B9^2)+(-29.5084*B13)+(1.001405*B13^2)+136,0)</f>
        <v>822</v>
      </c>
      <c r="C11" s="157">
        <f t="shared" ref="C11:F11" si="0">ROUND(-131.525+(200.6741*C9)+(-8.622756*C9^2)+(-29.5084*C13)+(1.001405*C13^2)+136,0)</f>
        <v>4</v>
      </c>
      <c r="D11" s="159">
        <f>ROUND(-131.525+(200.6741*D9)+(-8.622756*D9^2)+(-29.5084*D13)+(1.001405*D13^2)+136,0)</f>
        <v>875</v>
      </c>
      <c r="E11" s="157">
        <f t="shared" si="0"/>
        <v>4</v>
      </c>
      <c r="F11" s="157">
        <f t="shared" si="0"/>
        <v>4</v>
      </c>
      <c r="G11" s="162">
        <f>ROUND(-131.525+(200.6741*G9)+(-8.622756*G9^2)+(-29.5084*G13)+(1.001405*G13^2)+136,0)</f>
        <v>851</v>
      </c>
      <c r="H11" s="180"/>
    </row>
    <row r="12" spans="1:8" x14ac:dyDescent="0.25">
      <c r="D12" s="3"/>
      <c r="E12" s="3"/>
      <c r="F12" s="3"/>
      <c r="G12" s="3"/>
    </row>
    <row r="13" spans="1:8" x14ac:dyDescent="0.25">
      <c r="A13" s="57" t="s">
        <v>255</v>
      </c>
      <c r="B13" s="157">
        <v>15.4</v>
      </c>
      <c r="C13" s="166">
        <v>0</v>
      </c>
      <c r="D13" s="159">
        <v>17</v>
      </c>
      <c r="E13" s="160">
        <v>0</v>
      </c>
      <c r="F13" s="161">
        <v>0</v>
      </c>
      <c r="G13" s="162">
        <v>18.7</v>
      </c>
      <c r="H13" s="52"/>
    </row>
    <row r="14" spans="1:8" x14ac:dyDescent="0.25">
      <c r="A14" t="s">
        <v>256</v>
      </c>
      <c r="B14" s="157">
        <v>1200</v>
      </c>
      <c r="C14" s="166">
        <v>0</v>
      </c>
      <c r="D14" s="159">
        <v>1525</v>
      </c>
      <c r="E14" s="167">
        <v>0</v>
      </c>
      <c r="F14" s="161">
        <v>0</v>
      </c>
      <c r="G14" s="162">
        <v>1326</v>
      </c>
      <c r="H14" s="52"/>
    </row>
    <row r="15" spans="1:8" x14ac:dyDescent="0.25">
      <c r="A15" t="s">
        <v>257</v>
      </c>
      <c r="B15" s="157">
        <v>150</v>
      </c>
      <c r="C15" s="166">
        <v>0</v>
      </c>
      <c r="D15" s="159">
        <v>174</v>
      </c>
      <c r="E15" s="160">
        <v>0</v>
      </c>
      <c r="F15" s="161">
        <v>0</v>
      </c>
      <c r="G15" s="162">
        <v>119</v>
      </c>
      <c r="H15" s="52"/>
    </row>
    <row r="16" spans="1:8" x14ac:dyDescent="0.25">
      <c r="A16" t="s">
        <v>258</v>
      </c>
      <c r="B16" s="157">
        <v>180</v>
      </c>
      <c r="C16" s="166">
        <v>0</v>
      </c>
      <c r="D16" s="159">
        <v>254</v>
      </c>
      <c r="E16" s="160">
        <v>0</v>
      </c>
      <c r="F16" s="161">
        <v>0</v>
      </c>
      <c r="G16" s="162">
        <v>227</v>
      </c>
      <c r="H16" s="52"/>
    </row>
    <row r="17" spans="1:13" x14ac:dyDescent="0.25">
      <c r="A17" t="s">
        <v>259</v>
      </c>
      <c r="B17" s="157">
        <v>67.5</v>
      </c>
      <c r="C17" s="163">
        <v>0</v>
      </c>
      <c r="D17" s="159">
        <v>62</v>
      </c>
      <c r="E17" s="160">
        <v>0</v>
      </c>
      <c r="F17" s="161">
        <v>0</v>
      </c>
      <c r="G17" s="162">
        <v>65</v>
      </c>
      <c r="H17" s="56"/>
      <c r="M17" s="15"/>
    </row>
    <row r="18" spans="1:13" x14ac:dyDescent="0.25">
      <c r="A18" t="s">
        <v>260</v>
      </c>
      <c r="B18" s="157">
        <v>104.9</v>
      </c>
      <c r="C18" s="168">
        <v>0</v>
      </c>
      <c r="D18" s="159">
        <v>96</v>
      </c>
      <c r="E18" s="160">
        <v>0</v>
      </c>
      <c r="F18" s="161">
        <v>0</v>
      </c>
      <c r="G18" s="162">
        <v>101</v>
      </c>
      <c r="H18" s="56"/>
    </row>
    <row r="19" spans="1:13" x14ac:dyDescent="0.25">
      <c r="A19" t="s">
        <v>261</v>
      </c>
      <c r="B19" s="157">
        <v>133.94999999999999</v>
      </c>
      <c r="C19" s="168">
        <v>0</v>
      </c>
      <c r="D19" s="159">
        <v>137</v>
      </c>
      <c r="E19" s="160">
        <v>0</v>
      </c>
      <c r="F19" s="161">
        <v>0</v>
      </c>
      <c r="G19" s="162">
        <v>117</v>
      </c>
      <c r="H19" s="56"/>
    </row>
    <row r="26" spans="1:13" x14ac:dyDescent="0.25">
      <c r="E26" s="15"/>
      <c r="H26" s="15"/>
    </row>
    <row r="29" spans="1:13" x14ac:dyDescent="0.25">
      <c r="E29" s="15"/>
    </row>
    <row r="30" spans="1:13" x14ac:dyDescent="0.25">
      <c r="C30" s="15"/>
    </row>
  </sheetData>
  <sheetProtection algorithmName="SHA-512" hashValue="bxeVIXlJUlrvizSYqfLD1ZvNkzwiMLyIjPOGvfQkFW/S/pjaUZZDqXfsESC7yB4V62R3ycV1p6VwzDaTXrC80g==" saltValue="vbGii0D/UTpwrjgtQv5XCg==" spinCount="100000" sheet="1" objects="1" scenarios="1"/>
  <pageMargins left="0.25" right="0.25" top="0.75" bottom="0.75" header="0.3" footer="0.3"/>
  <pageSetup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U129"/>
  <sheetViews>
    <sheetView zoomScaleNormal="100" workbookViewId="0">
      <selection activeCell="D1" sqref="D1:H1"/>
    </sheetView>
  </sheetViews>
  <sheetFormatPr defaultRowHeight="15" x14ac:dyDescent="0.25"/>
  <cols>
    <col min="1" max="1" width="31.85546875" bestFit="1" customWidth="1"/>
    <col min="2" max="2" width="11.5703125" customWidth="1"/>
    <col min="3" max="3" width="13.5703125" customWidth="1"/>
    <col min="4" max="4" width="5.140625" customWidth="1"/>
    <col min="5" max="5" width="10" customWidth="1"/>
    <col min="6" max="6" width="4.85546875" customWidth="1"/>
    <col min="7" max="7" width="2.5703125" customWidth="1"/>
    <col min="8" max="9" width="4.7109375" customWidth="1"/>
    <col min="10" max="10" width="14.28515625" customWidth="1"/>
    <col min="11" max="11" width="11.7109375" customWidth="1"/>
    <col min="12" max="12" width="61.85546875" hidden="1" customWidth="1"/>
  </cols>
  <sheetData>
    <row r="1" spans="1:21" ht="18.75" customHeight="1" x14ac:dyDescent="0.25">
      <c r="A1" s="248" t="s">
        <v>197</v>
      </c>
      <c r="B1" s="248"/>
      <c r="C1" s="248"/>
      <c r="D1" s="247" t="s">
        <v>41</v>
      </c>
      <c r="E1" s="247"/>
      <c r="F1" s="247"/>
      <c r="G1" s="247"/>
      <c r="H1" s="247"/>
      <c r="I1" s="246" t="str">
        <f>IF(D1=Prices!A1,Prices!B5,IF(D1=Prices!A2,Prices!D5,Prices!G5))</f>
        <v>(as of July 1st, 2017)</v>
      </c>
      <c r="J1" s="246"/>
      <c r="K1" s="246"/>
      <c r="L1" s="150" t="s">
        <v>208</v>
      </c>
      <c r="M1" s="240" t="s">
        <v>123</v>
      </c>
      <c r="N1" s="240"/>
      <c r="O1" s="240"/>
      <c r="P1" s="240"/>
      <c r="Q1" s="240"/>
      <c r="R1" s="240"/>
      <c r="S1" s="240"/>
      <c r="T1" s="240"/>
      <c r="U1" s="240"/>
    </row>
    <row r="2" spans="1:21" x14ac:dyDescent="0.25">
      <c r="A2" s="1"/>
      <c r="B2" s="2"/>
      <c r="C2" s="3"/>
      <c r="D2" s="4"/>
      <c r="E2" s="3"/>
      <c r="F2" s="3"/>
      <c r="G2" s="4"/>
      <c r="H2" s="3"/>
      <c r="I2" s="4"/>
      <c r="J2" s="3"/>
      <c r="K2" s="3"/>
      <c r="L2" s="150"/>
    </row>
    <row r="3" spans="1:21" x14ac:dyDescent="0.25">
      <c r="A3" s="5" t="s">
        <v>2</v>
      </c>
      <c r="D3" s="6"/>
      <c r="G3" s="6"/>
      <c r="I3" s="6"/>
      <c r="L3" s="150"/>
    </row>
    <row r="4" spans="1:21" x14ac:dyDescent="0.25">
      <c r="A4" t="s">
        <v>3</v>
      </c>
      <c r="B4" s="169">
        <v>23500</v>
      </c>
      <c r="C4" s="259"/>
      <c r="D4" s="259"/>
      <c r="E4" s="7"/>
      <c r="I4" s="242"/>
      <c r="J4" s="242"/>
      <c r="K4" s="105"/>
      <c r="L4" s="150"/>
    </row>
    <row r="5" spans="1:21" x14ac:dyDescent="0.25">
      <c r="A5" t="s">
        <v>44</v>
      </c>
      <c r="B5" s="170">
        <v>0.34</v>
      </c>
      <c r="C5" s="241" t="s">
        <v>45</v>
      </c>
      <c r="D5" s="241"/>
      <c r="E5" s="170">
        <v>0.27</v>
      </c>
      <c r="F5" s="9"/>
      <c r="G5" s="263" t="s">
        <v>12</v>
      </c>
      <c r="H5" s="263"/>
      <c r="I5" s="263"/>
      <c r="J5" s="171">
        <v>0.92</v>
      </c>
      <c r="K5" s="59"/>
      <c r="L5" s="150"/>
    </row>
    <row r="6" spans="1:21" ht="27" customHeight="1" x14ac:dyDescent="0.25">
      <c r="D6" s="6"/>
      <c r="G6" s="6"/>
      <c r="I6" s="6"/>
      <c r="L6" s="150"/>
    </row>
    <row r="7" spans="1:21" ht="45" x14ac:dyDescent="0.25">
      <c r="A7" s="10" t="s">
        <v>4</v>
      </c>
      <c r="B7" s="10" t="s">
        <v>0</v>
      </c>
      <c r="C7" s="10" t="s">
        <v>5</v>
      </c>
      <c r="D7" s="10"/>
      <c r="E7" s="10" t="s">
        <v>6</v>
      </c>
      <c r="F7" s="10" t="s">
        <v>5</v>
      </c>
      <c r="G7" s="10"/>
      <c r="H7" s="10"/>
      <c r="I7" s="10"/>
      <c r="J7" s="10" t="s">
        <v>109</v>
      </c>
      <c r="K7" s="10" t="s">
        <v>119</v>
      </c>
      <c r="L7" s="150"/>
    </row>
    <row r="8" spans="1:21" x14ac:dyDescent="0.25">
      <c r="A8" t="s">
        <v>7</v>
      </c>
      <c r="B8" s="172">
        <f>IF(D1=Prices!A1,Prices!B13,IF(D1=Prices!A2,Prices!D13,IF(D1=Prices!A3,Prices!G13,"")))</f>
        <v>17</v>
      </c>
      <c r="C8" s="11" t="s">
        <v>8</v>
      </c>
      <c r="D8" s="6" t="s">
        <v>9</v>
      </c>
      <c r="E8" s="12">
        <f>B4</f>
        <v>23500</v>
      </c>
      <c r="F8" s="11" t="s">
        <v>10</v>
      </c>
      <c r="G8" s="6"/>
      <c r="H8" s="13"/>
      <c r="I8" s="14" t="s">
        <v>11</v>
      </c>
      <c r="J8" s="15">
        <f>B8*(E8/100)</f>
        <v>3995</v>
      </c>
      <c r="K8" s="15">
        <f>B8</f>
        <v>17</v>
      </c>
      <c r="L8" s="150"/>
    </row>
    <row r="9" spans="1:21" x14ac:dyDescent="0.25">
      <c r="A9" t="s">
        <v>124</v>
      </c>
      <c r="B9" s="172">
        <v>0</v>
      </c>
      <c r="C9" s="11" t="s">
        <v>8</v>
      </c>
      <c r="D9" s="115" t="s">
        <v>9</v>
      </c>
      <c r="E9" s="12">
        <f>B4</f>
        <v>23500</v>
      </c>
      <c r="F9" s="11" t="s">
        <v>10</v>
      </c>
      <c r="G9" s="115"/>
      <c r="H9" s="13"/>
      <c r="I9" s="14" t="s">
        <v>11</v>
      </c>
      <c r="J9" s="15">
        <f>B9*E9</f>
        <v>0</v>
      </c>
      <c r="K9" s="118">
        <f>B9</f>
        <v>0</v>
      </c>
      <c r="L9" s="150"/>
    </row>
    <row r="10" spans="1:21" x14ac:dyDescent="0.25">
      <c r="A10" t="s">
        <v>12</v>
      </c>
      <c r="B10" s="173">
        <f>0.5*(IF(D1=Prices!A1,Prices!B15,IF(D1=Prices!A2,Prices!D15,IF(D1=Prices!A3,Prices!G15,""))))+0.5*(IF(D1=Prices!A1,Prices!B16,IF(D1=Prices!A2,Prices!D16,IF(D1=Prices!A3,Prices!G16,""))))</f>
        <v>214</v>
      </c>
      <c r="C10" s="11" t="s">
        <v>43</v>
      </c>
      <c r="D10" s="6" t="s">
        <v>9</v>
      </c>
      <c r="E10" s="25">
        <f>J5</f>
        <v>0.92</v>
      </c>
      <c r="F10" s="11" t="s">
        <v>46</v>
      </c>
      <c r="G10" s="6"/>
      <c r="H10" s="13"/>
      <c r="I10" s="14" t="s">
        <v>11</v>
      </c>
      <c r="J10" s="15">
        <f>B10*E10</f>
        <v>196.88</v>
      </c>
      <c r="K10" s="15">
        <f>J10/B4*100</f>
        <v>0.83778723404255317</v>
      </c>
      <c r="L10" s="150"/>
    </row>
    <row r="11" spans="1:21" x14ac:dyDescent="0.25">
      <c r="A11" t="s">
        <v>13</v>
      </c>
      <c r="B11" s="173">
        <f>IF(D1=Prices!A1,Prices!B17,IF(D1=Prices!A2,Prices!D17,IF(D1=Prices!A3,Prices!G17,"")))</f>
        <v>62</v>
      </c>
      <c r="C11" s="11" t="s">
        <v>8</v>
      </c>
      <c r="D11" s="6" t="s">
        <v>9</v>
      </c>
      <c r="E11" s="174">
        <v>1350</v>
      </c>
      <c r="F11" s="11" t="s">
        <v>10</v>
      </c>
      <c r="G11" s="6" t="s">
        <v>9</v>
      </c>
      <c r="H11" s="13">
        <f>E5</f>
        <v>0.27</v>
      </c>
      <c r="I11" s="14" t="s">
        <v>11</v>
      </c>
      <c r="J11" s="24">
        <f>B11*(E11/100)*H11</f>
        <v>225.99</v>
      </c>
      <c r="K11" s="24">
        <f>J11/B4*100</f>
        <v>0.96165957446808525</v>
      </c>
      <c r="L11" s="150"/>
    </row>
    <row r="12" spans="1:21" x14ac:dyDescent="0.25">
      <c r="A12" t="s">
        <v>14</v>
      </c>
      <c r="B12" s="16"/>
      <c r="C12" s="11"/>
      <c r="D12" s="6"/>
      <c r="E12" s="18"/>
      <c r="F12" s="11"/>
      <c r="G12" s="6"/>
      <c r="H12" s="13"/>
      <c r="I12" s="14"/>
      <c r="J12" s="173">
        <f>135</f>
        <v>135</v>
      </c>
      <c r="K12" s="24">
        <f>J12/B4*100</f>
        <v>0.57446808510638303</v>
      </c>
      <c r="L12" s="150"/>
    </row>
    <row r="13" spans="1:21" x14ac:dyDescent="0.25">
      <c r="A13" t="s">
        <v>15</v>
      </c>
      <c r="B13" s="16"/>
      <c r="C13" s="11"/>
      <c r="D13" s="6"/>
      <c r="E13" s="18"/>
      <c r="F13" s="11"/>
      <c r="G13" s="6"/>
      <c r="H13" s="13"/>
      <c r="I13" s="14"/>
      <c r="J13" s="173">
        <v>75</v>
      </c>
      <c r="K13" s="24">
        <f>J13/B4*100</f>
        <v>0.31914893617021273</v>
      </c>
      <c r="L13" s="150"/>
    </row>
    <row r="14" spans="1:21" x14ac:dyDescent="0.25">
      <c r="A14" s="19" t="s">
        <v>16</v>
      </c>
      <c r="B14" s="20"/>
      <c r="C14" s="20"/>
      <c r="D14" s="21"/>
      <c r="E14" s="20"/>
      <c r="F14" s="20"/>
      <c r="G14" s="21"/>
      <c r="H14" s="20"/>
      <c r="I14" s="21"/>
      <c r="J14" s="22">
        <f>SUM(J8:J13)</f>
        <v>4627.87</v>
      </c>
      <c r="K14" s="22">
        <f>SUM(K8:K13)</f>
        <v>19.693063829787235</v>
      </c>
      <c r="L14" s="150"/>
      <c r="M14" s="15"/>
    </row>
    <row r="15" spans="1:21" x14ac:dyDescent="0.25">
      <c r="A15" s="23"/>
      <c r="D15" s="6"/>
      <c r="G15" s="6"/>
      <c r="I15" s="6"/>
      <c r="L15" s="150"/>
    </row>
    <row r="16" spans="1:21" x14ac:dyDescent="0.25">
      <c r="A16" s="10" t="s">
        <v>17</v>
      </c>
      <c r="B16" s="20"/>
      <c r="C16" s="20"/>
      <c r="D16" s="21"/>
      <c r="E16" s="20"/>
      <c r="F16" s="20"/>
      <c r="G16" s="21"/>
      <c r="H16" s="20"/>
      <c r="I16" s="21"/>
      <c r="J16" s="20"/>
      <c r="K16" s="20"/>
      <c r="L16" s="150"/>
    </row>
    <row r="17" spans="1:18" x14ac:dyDescent="0.25">
      <c r="A17" t="s">
        <v>138</v>
      </c>
      <c r="B17" s="175">
        <f>IF(D1="Current Prices", (26.29174+(0.092494*Prices!B9)+(0.018169*Prices!B9^2)+(-0.00265*B4)+(0.0000000719*B4^2)),IF(D1="One Year Out Prices", (26.29174+(0.092494*Prices!D9)+(0.018169*Prices!D9^2)+(-0.00265*B4)+(0.0000000719*B4^2)), IF(D1="Five Years Out Prices", (26.29174+(0.092494*Prices!G9)+(0.018169*Prices!G9^2)+(-0.00265*B4)+(0.0000000719*B4^2)),"")))</f>
        <v>5.8255195776858599</v>
      </c>
      <c r="C17" s="11" t="s">
        <v>125</v>
      </c>
      <c r="D17" s="6" t="s">
        <v>9</v>
      </c>
      <c r="E17" s="12">
        <v>365</v>
      </c>
      <c r="F17" s="11" t="s">
        <v>49</v>
      </c>
      <c r="G17" s="6"/>
      <c r="H17" s="13"/>
      <c r="I17" s="14"/>
      <c r="J17" s="173">
        <f>B17*E17</f>
        <v>2126.3146458553388</v>
      </c>
      <c r="K17" s="24">
        <f>J17/$B$4*100</f>
        <v>9.0481474291716548</v>
      </c>
      <c r="L17" s="150" t="s">
        <v>199</v>
      </c>
      <c r="M17" s="3"/>
    </row>
    <row r="18" spans="1:18" x14ac:dyDescent="0.25">
      <c r="A18" s="26" t="s">
        <v>40</v>
      </c>
      <c r="B18" s="173">
        <f>IF(D1=Prices!A1,Prices!B14,IF(D1=Prices!A2,Prices!D14,IF(D1=Prices!A3,Prices!G14,"")))</f>
        <v>1525</v>
      </c>
      <c r="C18" s="11" t="s">
        <v>43</v>
      </c>
      <c r="D18" s="8" t="s">
        <v>9</v>
      </c>
      <c r="E18" s="25">
        <f>B5</f>
        <v>0.34</v>
      </c>
      <c r="F18" s="11" t="s">
        <v>46</v>
      </c>
      <c r="G18" s="8"/>
      <c r="H18" s="13"/>
      <c r="I18" s="14" t="s">
        <v>11</v>
      </c>
      <c r="J18" s="24">
        <f>B18*E18</f>
        <v>518.5</v>
      </c>
      <c r="K18" s="24">
        <f t="shared" ref="K18:K30" si="0">J18/$B$4*100</f>
        <v>2.2063829787234042</v>
      </c>
      <c r="L18" s="150"/>
      <c r="M18" s="3"/>
    </row>
    <row r="19" spans="1:18" x14ac:dyDescent="0.25">
      <c r="A19" s="26" t="s">
        <v>180</v>
      </c>
      <c r="B19" s="24"/>
      <c r="C19" s="11"/>
      <c r="D19" s="46"/>
      <c r="E19" s="25"/>
      <c r="F19" s="11"/>
      <c r="G19" s="46"/>
      <c r="H19" s="13"/>
      <c r="I19" s="14"/>
      <c r="J19" s="173">
        <v>56</v>
      </c>
      <c r="K19" s="24">
        <f t="shared" si="0"/>
        <v>0.23829787234042554</v>
      </c>
      <c r="L19" s="150" t="s">
        <v>179</v>
      </c>
      <c r="M19" s="3"/>
    </row>
    <row r="20" spans="1:18" x14ac:dyDescent="0.25">
      <c r="A20" s="26" t="s">
        <v>206</v>
      </c>
      <c r="B20" s="173">
        <v>13.5</v>
      </c>
      <c r="C20" s="11" t="s">
        <v>18</v>
      </c>
      <c r="D20" s="125" t="s">
        <v>9</v>
      </c>
      <c r="E20" s="176">
        <v>33</v>
      </c>
      <c r="F20" s="11" t="s">
        <v>19</v>
      </c>
      <c r="G20" s="125"/>
      <c r="H20" s="13"/>
      <c r="I20" s="14" t="s">
        <v>11</v>
      </c>
      <c r="J20" s="24">
        <f>B20*E20</f>
        <v>445.5</v>
      </c>
      <c r="K20" s="24">
        <f t="shared" ref="K20" si="1">J20/$B$4*100</f>
        <v>1.8957446808510641</v>
      </c>
      <c r="L20" s="155" t="s">
        <v>182</v>
      </c>
      <c r="M20" s="3"/>
    </row>
    <row r="21" spans="1:18" x14ac:dyDescent="0.25">
      <c r="A21" s="26" t="s">
        <v>156</v>
      </c>
      <c r="B21" s="173">
        <v>25</v>
      </c>
      <c r="C21" s="11" t="s">
        <v>18</v>
      </c>
      <c r="D21" s="153" t="s">
        <v>9</v>
      </c>
      <c r="E21" s="176">
        <v>8</v>
      </c>
      <c r="F21" s="11" t="s">
        <v>19</v>
      </c>
      <c r="G21" s="153"/>
      <c r="H21" s="13"/>
      <c r="I21" s="14" t="s">
        <v>11</v>
      </c>
      <c r="J21" s="24">
        <f>B21*E21</f>
        <v>200</v>
      </c>
      <c r="K21" s="24">
        <f t="shared" ref="K21" si="2">J21/$B$4*100</f>
        <v>0.85106382978723405</v>
      </c>
      <c r="L21" s="150" t="s">
        <v>186</v>
      </c>
      <c r="M21" s="3"/>
    </row>
    <row r="22" spans="1:18" x14ac:dyDescent="0.25">
      <c r="A22" s="26" t="s">
        <v>203</v>
      </c>
      <c r="B22" s="16"/>
      <c r="C22" s="11"/>
      <c r="D22" s="97"/>
      <c r="E22" s="27"/>
      <c r="F22" s="11"/>
      <c r="G22" s="97"/>
      <c r="H22" s="13"/>
      <c r="I22" s="14"/>
      <c r="J22" s="173">
        <v>109</v>
      </c>
      <c r="K22" s="24">
        <f t="shared" si="0"/>
        <v>0.4638297872340425</v>
      </c>
      <c r="L22" s="150" t="s">
        <v>187</v>
      </c>
      <c r="M22" s="154"/>
      <c r="R22" s="15"/>
    </row>
    <row r="23" spans="1:18" x14ac:dyDescent="0.25">
      <c r="A23" t="s">
        <v>132</v>
      </c>
      <c r="B23" s="16"/>
      <c r="C23" s="11"/>
      <c r="D23" s="6"/>
      <c r="E23" s="18"/>
      <c r="F23" s="11"/>
      <c r="G23" s="6"/>
      <c r="H23" s="13"/>
      <c r="I23" s="14"/>
      <c r="J23" s="173">
        <v>116</v>
      </c>
      <c r="K23" s="24">
        <f t="shared" si="0"/>
        <v>0.49361702127659579</v>
      </c>
      <c r="L23" s="150" t="s">
        <v>179</v>
      </c>
      <c r="M23" s="3"/>
    </row>
    <row r="24" spans="1:18" x14ac:dyDescent="0.25">
      <c r="A24" t="s">
        <v>181</v>
      </c>
      <c r="B24" s="16"/>
      <c r="C24" s="11"/>
      <c r="D24" s="6"/>
      <c r="E24" s="18"/>
      <c r="F24" s="11"/>
      <c r="G24" s="6"/>
      <c r="H24" s="13"/>
      <c r="I24" s="14"/>
      <c r="J24" s="173">
        <v>87</v>
      </c>
      <c r="K24" s="24">
        <f t="shared" si="0"/>
        <v>0.37021276595744679</v>
      </c>
      <c r="L24" s="150" t="s">
        <v>179</v>
      </c>
      <c r="M24" s="3"/>
    </row>
    <row r="25" spans="1:18" x14ac:dyDescent="0.25">
      <c r="A25" s="26" t="s">
        <v>183</v>
      </c>
      <c r="B25" s="16"/>
      <c r="C25" s="11"/>
      <c r="D25" s="137"/>
      <c r="E25" s="18"/>
      <c r="F25" s="11"/>
      <c r="G25" s="137"/>
      <c r="H25" s="13"/>
      <c r="I25" s="14"/>
      <c r="J25" s="173">
        <v>59</v>
      </c>
      <c r="K25" s="24">
        <f t="shared" si="0"/>
        <v>0.25106382978723407</v>
      </c>
      <c r="L25" s="150" t="s">
        <v>184</v>
      </c>
      <c r="M25" s="3"/>
    </row>
    <row r="26" spans="1:18" x14ac:dyDescent="0.25">
      <c r="A26" t="s">
        <v>21</v>
      </c>
      <c r="B26" s="16"/>
      <c r="C26" s="11"/>
      <c r="D26" s="6"/>
      <c r="E26" s="18"/>
      <c r="F26" s="11"/>
      <c r="G26" s="6"/>
      <c r="H26" s="13"/>
      <c r="I26" s="14"/>
      <c r="J26" s="173">
        <v>155</v>
      </c>
      <c r="K26" s="24">
        <f t="shared" si="0"/>
        <v>0.65957446808510634</v>
      </c>
      <c r="L26" s="150" t="s">
        <v>179</v>
      </c>
      <c r="M26" s="3"/>
    </row>
    <row r="27" spans="1:18" x14ac:dyDescent="0.25">
      <c r="A27" t="s">
        <v>131</v>
      </c>
      <c r="B27" s="16"/>
      <c r="C27" s="11"/>
      <c r="D27" s="125"/>
      <c r="E27" s="18"/>
      <c r="F27" s="11"/>
      <c r="G27" s="125"/>
      <c r="H27" s="13"/>
      <c r="I27" s="14"/>
      <c r="J27" s="173">
        <v>88</v>
      </c>
      <c r="K27" s="24">
        <f t="shared" si="0"/>
        <v>0.37446808510638296</v>
      </c>
      <c r="L27" s="150" t="s">
        <v>179</v>
      </c>
      <c r="M27" s="3"/>
    </row>
    <row r="28" spans="1:18" x14ac:dyDescent="0.25">
      <c r="A28" t="s">
        <v>200</v>
      </c>
      <c r="B28" s="16"/>
      <c r="C28" s="11"/>
      <c r="D28" s="153"/>
      <c r="E28" s="18"/>
      <c r="F28" s="11"/>
      <c r="G28" s="153"/>
      <c r="H28" s="13"/>
      <c r="I28" s="14"/>
      <c r="J28" s="173">
        <v>70</v>
      </c>
      <c r="K28" s="24">
        <f t="shared" si="0"/>
        <v>0.2978723404255319</v>
      </c>
      <c r="L28" s="150" t="s">
        <v>201</v>
      </c>
      <c r="M28" s="3"/>
    </row>
    <row r="29" spans="1:18" x14ac:dyDescent="0.25">
      <c r="A29" t="s">
        <v>207</v>
      </c>
      <c r="D29" s="137"/>
      <c r="G29" s="137"/>
      <c r="I29" s="137"/>
      <c r="J29" s="173">
        <v>80</v>
      </c>
      <c r="K29" s="24">
        <f>J29/$B$4*100</f>
        <v>0.34042553191489361</v>
      </c>
      <c r="L29" s="150" t="s">
        <v>185</v>
      </c>
      <c r="M29" s="3"/>
    </row>
    <row r="30" spans="1:18" x14ac:dyDescent="0.25">
      <c r="A30" t="s">
        <v>22</v>
      </c>
      <c r="B30" s="16"/>
      <c r="C30" s="11"/>
      <c r="D30" s="137"/>
      <c r="E30" s="18"/>
      <c r="F30" s="11"/>
      <c r="G30" s="137"/>
      <c r="H30" s="13"/>
      <c r="I30" s="14"/>
      <c r="J30" s="173">
        <v>285</v>
      </c>
      <c r="K30" s="24">
        <f t="shared" si="0"/>
        <v>1.2127659574468086</v>
      </c>
      <c r="L30" s="150" t="s">
        <v>202</v>
      </c>
      <c r="M30" s="3"/>
      <c r="P30" s="15"/>
    </row>
    <row r="31" spans="1:18" x14ac:dyDescent="0.25">
      <c r="A31" s="23" t="s">
        <v>23</v>
      </c>
      <c r="D31" s="6"/>
      <c r="G31" s="6"/>
      <c r="I31" s="6"/>
      <c r="J31" s="28">
        <f>SUM(J17:J30)</f>
        <v>4395.3146458553383</v>
      </c>
      <c r="K31" s="28">
        <f>SUM(K17:K30)</f>
        <v>18.703466578107825</v>
      </c>
      <c r="L31" s="150"/>
      <c r="M31" s="3"/>
    </row>
    <row r="32" spans="1:18" x14ac:dyDescent="0.25">
      <c r="D32" s="6"/>
      <c r="G32" s="6"/>
      <c r="I32" s="6"/>
      <c r="L32" s="150"/>
      <c r="M32" s="3"/>
    </row>
    <row r="33" spans="1:13" x14ac:dyDescent="0.25">
      <c r="A33" s="10" t="s">
        <v>24</v>
      </c>
      <c r="B33" s="20"/>
      <c r="C33" s="20"/>
      <c r="D33" s="21"/>
      <c r="E33" s="20"/>
      <c r="F33" s="20"/>
      <c r="G33" s="21"/>
      <c r="H33" s="20"/>
      <c r="I33" s="21"/>
      <c r="J33" s="20"/>
      <c r="K33" s="20"/>
      <c r="L33" s="150"/>
      <c r="M33" s="3"/>
    </row>
    <row r="34" spans="1:13" x14ac:dyDescent="0.25">
      <c r="A34" t="s">
        <v>25</v>
      </c>
      <c r="D34" s="6"/>
      <c r="G34" s="6"/>
      <c r="I34" s="6"/>
      <c r="J34" s="173">
        <v>167</v>
      </c>
      <c r="K34" s="24">
        <f>J34/$B$4*100</f>
        <v>0.71063829787234045</v>
      </c>
      <c r="L34" s="150" t="s">
        <v>205</v>
      </c>
      <c r="M34" s="3"/>
    </row>
    <row r="35" spans="1:13" x14ac:dyDescent="0.25">
      <c r="A35" t="s">
        <v>27</v>
      </c>
      <c r="D35" s="6"/>
      <c r="G35" s="6"/>
      <c r="I35" s="6"/>
      <c r="J35" s="173">
        <v>49</v>
      </c>
      <c r="K35" s="24">
        <f t="shared" ref="K35:K37" si="3">J35/$B$4*100</f>
        <v>0.20851063829787236</v>
      </c>
      <c r="L35" s="150" t="s">
        <v>179</v>
      </c>
      <c r="M35" s="3"/>
    </row>
    <row r="36" spans="1:13" x14ac:dyDescent="0.25">
      <c r="A36" s="29" t="s">
        <v>28</v>
      </c>
      <c r="B36" s="29"/>
      <c r="C36" s="29"/>
      <c r="D36" s="30"/>
      <c r="E36" s="29"/>
      <c r="F36" s="29"/>
      <c r="G36" s="30"/>
      <c r="H36" s="29"/>
      <c r="I36" s="30"/>
      <c r="J36" s="177">
        <f>ROUND(((0.055*(4739.23-270))),0)</f>
        <v>246</v>
      </c>
      <c r="K36" s="24">
        <f t="shared" si="3"/>
        <v>1.0468085106382978</v>
      </c>
      <c r="L36" s="150" t="s">
        <v>222</v>
      </c>
      <c r="M36" s="154"/>
    </row>
    <row r="37" spans="1:13" x14ac:dyDescent="0.25">
      <c r="A37" s="31" t="s">
        <v>29</v>
      </c>
      <c r="B37" s="29"/>
      <c r="C37" s="29"/>
      <c r="D37" s="30"/>
      <c r="E37" s="29"/>
      <c r="F37" s="29"/>
      <c r="G37" s="30"/>
      <c r="H37" s="29"/>
      <c r="I37" s="30"/>
      <c r="J37" s="177">
        <v>103</v>
      </c>
      <c r="K37" s="24">
        <f t="shared" si="3"/>
        <v>0.4382978723404255</v>
      </c>
      <c r="L37" s="150" t="s">
        <v>204</v>
      </c>
      <c r="M37" s="3"/>
    </row>
    <row r="38" spans="1:13" x14ac:dyDescent="0.25">
      <c r="A38" s="32" t="s">
        <v>30</v>
      </c>
      <c r="B38" s="33"/>
      <c r="C38" s="33"/>
      <c r="D38" s="34"/>
      <c r="E38" s="33"/>
      <c r="F38" s="33"/>
      <c r="G38" s="34"/>
      <c r="H38" s="33"/>
      <c r="I38" s="34"/>
      <c r="J38" s="35">
        <f>SUM(J34:J37)</f>
        <v>565</v>
      </c>
      <c r="K38" s="35">
        <f>SUM(K34:K37)</f>
        <v>2.4042553191489362</v>
      </c>
      <c r="L38" s="150"/>
      <c r="M38" s="3"/>
    </row>
    <row r="39" spans="1:13" x14ac:dyDescent="0.25">
      <c r="B39" s="16"/>
      <c r="C39" s="11"/>
      <c r="D39" s="6"/>
      <c r="E39" s="18"/>
      <c r="F39" s="11"/>
      <c r="G39" s="6"/>
      <c r="H39" s="13"/>
      <c r="I39" s="14"/>
      <c r="J39" s="16"/>
      <c r="K39" s="16"/>
      <c r="L39" s="150"/>
      <c r="M39" s="3"/>
    </row>
    <row r="40" spans="1:13" x14ac:dyDescent="0.25">
      <c r="A40" s="10" t="s">
        <v>31</v>
      </c>
      <c r="B40" s="20"/>
      <c r="C40" s="20"/>
      <c r="D40" s="21"/>
      <c r="E40" s="20"/>
      <c r="F40" s="20"/>
      <c r="G40" s="21"/>
      <c r="H40" s="20"/>
      <c r="I40" s="21"/>
      <c r="J40" s="22">
        <f>J31+J38</f>
        <v>4960.3146458553383</v>
      </c>
      <c r="K40" s="22">
        <f>K31+K38</f>
        <v>21.107721897256763</v>
      </c>
      <c r="L40" s="150" t="s">
        <v>178</v>
      </c>
      <c r="M40" s="3"/>
    </row>
    <row r="41" spans="1:13" x14ac:dyDescent="0.25">
      <c r="D41" s="6"/>
      <c r="G41" s="6"/>
      <c r="I41" s="6"/>
      <c r="L41" s="150"/>
    </row>
    <row r="42" spans="1:13" x14ac:dyDescent="0.25">
      <c r="A42" t="s">
        <v>32</v>
      </c>
      <c r="D42" s="6"/>
      <c r="G42" s="6"/>
      <c r="I42" s="6"/>
      <c r="J42" s="15">
        <f>J14-J31</f>
        <v>232.55535414466158</v>
      </c>
      <c r="K42" s="15">
        <f>K14-K31</f>
        <v>0.9895972516794096</v>
      </c>
      <c r="L42" s="150"/>
    </row>
    <row r="43" spans="1:13" ht="15.75" thickBot="1" x14ac:dyDescent="0.3">
      <c r="A43" s="36" t="s">
        <v>33</v>
      </c>
      <c r="D43" s="6"/>
      <c r="G43" s="6"/>
      <c r="I43" s="6"/>
      <c r="J43" s="37">
        <f>J14-J40</f>
        <v>-332.44464585533842</v>
      </c>
      <c r="K43" s="37">
        <f>K14-K40</f>
        <v>-1.4146580674695279</v>
      </c>
      <c r="L43" s="150"/>
    </row>
    <row r="44" spans="1:13" ht="15.75" thickTop="1" x14ac:dyDescent="0.25"/>
    <row r="45" spans="1:13" x14ac:dyDescent="0.25">
      <c r="A45" s="38"/>
      <c r="B45" s="29"/>
      <c r="C45" s="29"/>
      <c r="D45" s="30"/>
      <c r="E45" s="29"/>
      <c r="F45" s="29"/>
      <c r="G45" s="30"/>
      <c r="H45" s="29"/>
      <c r="I45" s="30"/>
      <c r="J45" s="39"/>
      <c r="K45" s="39"/>
    </row>
    <row r="46" spans="1:13" x14ac:dyDescent="0.25">
      <c r="A46" s="243" t="s">
        <v>34</v>
      </c>
      <c r="B46" s="244"/>
      <c r="C46" s="244"/>
      <c r="D46" s="244"/>
      <c r="E46" s="244"/>
      <c r="F46" s="244"/>
      <c r="G46" s="244"/>
      <c r="H46" s="244"/>
      <c r="I46" s="244"/>
      <c r="J46" s="244"/>
      <c r="K46" s="109"/>
    </row>
    <row r="47" spans="1:13" ht="15.75" x14ac:dyDescent="0.25">
      <c r="A47" s="40" t="s">
        <v>225</v>
      </c>
      <c r="B47" s="40"/>
      <c r="C47" s="40"/>
      <c r="D47" s="40"/>
      <c r="E47" s="40"/>
      <c r="F47" s="40"/>
      <c r="G47" s="40"/>
      <c r="H47" s="40"/>
      <c r="I47" s="40"/>
      <c r="J47" s="239" t="str">
        <f>Introduction!L8</f>
        <v>Version- 7.5.2017</v>
      </c>
      <c r="K47" s="239"/>
    </row>
    <row r="48" spans="1:13" ht="23.25" customHeight="1" x14ac:dyDescent="0.25">
      <c r="B48" s="41"/>
    </row>
    <row r="49" spans="1:11" ht="19.5" customHeight="1" thickBot="1" x14ac:dyDescent="0.35">
      <c r="A49" s="257" t="s">
        <v>197</v>
      </c>
      <c r="B49" s="257"/>
      <c r="C49" s="257"/>
      <c r="D49" s="257"/>
      <c r="E49" s="257"/>
      <c r="F49" s="257"/>
      <c r="G49" s="245"/>
      <c r="H49" s="245"/>
      <c r="I49" s="245"/>
      <c r="J49" s="245"/>
      <c r="K49" s="107"/>
    </row>
    <row r="92" spans="1:11" ht="107.25" customHeight="1" x14ac:dyDescent="0.25"/>
    <row r="93" spans="1:11" x14ac:dyDescent="0.25">
      <c r="A93" s="243" t="s">
        <v>34</v>
      </c>
      <c r="B93" s="244"/>
      <c r="C93" s="244"/>
      <c r="D93" s="244"/>
      <c r="E93" s="244"/>
      <c r="F93" s="244"/>
      <c r="G93" s="244"/>
      <c r="H93" s="244"/>
      <c r="I93" s="244"/>
      <c r="J93" s="244"/>
      <c r="K93" s="109"/>
    </row>
    <row r="94" spans="1:11" ht="15.75" x14ac:dyDescent="0.25">
      <c r="A94" s="40" t="s">
        <v>225</v>
      </c>
      <c r="B94" s="40"/>
      <c r="C94" s="40"/>
      <c r="D94" s="40"/>
      <c r="E94" s="40"/>
      <c r="F94" s="40"/>
      <c r="G94" s="40"/>
      <c r="H94" s="40"/>
      <c r="I94" s="40"/>
      <c r="J94" s="239" t="str">
        <f>J47</f>
        <v>Version- 7.5.2017</v>
      </c>
      <c r="K94" s="239"/>
    </row>
    <row r="95" spans="1:11" ht="15.75" x14ac:dyDescent="0.25">
      <c r="A95" s="42"/>
      <c r="B95" s="42"/>
      <c r="C95" s="42"/>
      <c r="D95" s="42"/>
      <c r="E95" s="42"/>
      <c r="F95" s="42"/>
      <c r="G95" s="42"/>
      <c r="H95" s="42"/>
      <c r="I95" s="42"/>
      <c r="J95" s="42"/>
      <c r="K95" s="42"/>
    </row>
    <row r="96" spans="1:11" ht="19.5" customHeight="1" thickBot="1" x14ac:dyDescent="0.35">
      <c r="A96" s="257" t="s">
        <v>197</v>
      </c>
      <c r="B96" s="257"/>
      <c r="C96" s="257"/>
      <c r="D96" s="257"/>
      <c r="E96" s="257"/>
      <c r="F96" s="257"/>
      <c r="G96" s="245"/>
      <c r="H96" s="245"/>
      <c r="I96" s="245"/>
      <c r="J96" s="245"/>
      <c r="K96" s="107"/>
    </row>
    <row r="97" spans="1:6" ht="15.75" x14ac:dyDescent="0.25">
      <c r="A97" s="43" t="s">
        <v>36</v>
      </c>
    </row>
    <row r="99" spans="1:6" ht="15.75" customHeight="1" x14ac:dyDescent="0.25">
      <c r="A99" s="110"/>
      <c r="B99" s="29"/>
      <c r="C99" s="29"/>
      <c r="D99" s="29"/>
      <c r="E99" s="29"/>
      <c r="F99" s="29"/>
    </row>
    <row r="100" spans="1:6" ht="47.25" customHeight="1" x14ac:dyDescent="0.35">
      <c r="A100" s="120" t="s">
        <v>110</v>
      </c>
      <c r="B100" s="121"/>
      <c r="C100" s="121"/>
      <c r="D100" s="121"/>
      <c r="E100" s="121"/>
      <c r="F100" s="122"/>
    </row>
    <row r="101" spans="1:6" ht="15" customHeight="1" x14ac:dyDescent="0.25">
      <c r="A101" s="114"/>
      <c r="B101" s="119" t="s">
        <v>37</v>
      </c>
      <c r="C101" s="260" t="s">
        <v>38</v>
      </c>
      <c r="D101" s="260"/>
      <c r="E101" s="261" t="s">
        <v>39</v>
      </c>
      <c r="F101" s="262"/>
    </row>
    <row r="102" spans="1:6" x14ac:dyDescent="0.25">
      <c r="A102" s="123" t="str">
        <f>Prices!A6</f>
        <v>Corn ($/bu)</v>
      </c>
      <c r="B102" s="124">
        <f>Prices!B6</f>
        <v>3.42</v>
      </c>
      <c r="C102" s="249">
        <f>Prices!D6</f>
        <v>3.82</v>
      </c>
      <c r="D102" s="250"/>
      <c r="E102" s="249">
        <f>Prices!G6</f>
        <v>3.5</v>
      </c>
      <c r="F102" s="258"/>
    </row>
    <row r="103" spans="1:6" x14ac:dyDescent="0.25">
      <c r="A103" s="112" t="str">
        <f>Prices!A7</f>
        <v>Soybeans ($/bu)</v>
      </c>
      <c r="B103" s="44">
        <f>Prices!B7</f>
        <v>9.0500000000000007</v>
      </c>
      <c r="C103" s="251">
        <f>Prices!D7</f>
        <v>9.3800000000000008</v>
      </c>
      <c r="D103" s="252"/>
      <c r="E103" s="251">
        <f>Prices!G7</f>
        <v>9.4499999999999993</v>
      </c>
      <c r="F103" s="253"/>
    </row>
    <row r="104" spans="1:6" x14ac:dyDescent="0.25">
      <c r="A104" s="112" t="str">
        <f>Prices!A8</f>
        <v>Dairy Alfalfa ($/ton)</v>
      </c>
      <c r="B104" s="44">
        <f>Prices!B8</f>
        <v>165</v>
      </c>
      <c r="C104" s="251">
        <f>Prices!D8</f>
        <v>184.2982456140351</v>
      </c>
      <c r="D104" s="252"/>
      <c r="E104" s="251">
        <f>Prices!G8</f>
        <v>168.85964912280701</v>
      </c>
      <c r="F104" s="253"/>
    </row>
    <row r="105" spans="1:6" x14ac:dyDescent="0.25">
      <c r="A105" s="112" t="str">
        <f>Prices!A9</f>
        <v>16% 100 pounds of feed ($)</v>
      </c>
      <c r="B105" s="44">
        <f>Prices!B9</f>
        <v>7.7038095238095243</v>
      </c>
      <c r="C105" s="251">
        <f>Prices!D9</f>
        <v>8.5077092731829573</v>
      </c>
      <c r="D105" s="252"/>
      <c r="E105" s="251">
        <f>Prices!G9</f>
        <v>7.9091228070175443</v>
      </c>
      <c r="F105" s="253"/>
    </row>
    <row r="106" spans="1:6" x14ac:dyDescent="0.25">
      <c r="A106" s="112" t="str">
        <f>Prices!A10</f>
        <v>Milk:Feed Ratio</v>
      </c>
      <c r="B106" s="44">
        <f>Prices!B10</f>
        <v>1.9990110025961181</v>
      </c>
      <c r="C106" s="251">
        <f>Prices!D10</f>
        <v>1.998187697079105</v>
      </c>
      <c r="D106" s="252"/>
      <c r="E106" s="251">
        <f>Prices!G10</f>
        <v>2.3643582804667047</v>
      </c>
      <c r="F106" s="253"/>
    </row>
    <row r="107" spans="1:6" x14ac:dyDescent="0.25">
      <c r="A107" s="112"/>
      <c r="B107" s="44"/>
      <c r="C107" s="251"/>
      <c r="D107" s="252"/>
      <c r="E107" s="251"/>
      <c r="F107" s="253"/>
    </row>
    <row r="108" spans="1:6" x14ac:dyDescent="0.25">
      <c r="A108" s="112" t="str">
        <f>Prices!A13</f>
        <v>Milk ($/cwt)</v>
      </c>
      <c r="B108" s="44">
        <f>Prices!B13</f>
        <v>15.4</v>
      </c>
      <c r="C108" s="251">
        <f>Prices!D13</f>
        <v>17</v>
      </c>
      <c r="D108" s="252"/>
      <c r="E108" s="251">
        <f>Prices!G13</f>
        <v>18.7</v>
      </c>
      <c r="F108" s="253"/>
    </row>
    <row r="109" spans="1:6" x14ac:dyDescent="0.25">
      <c r="A109" s="112" t="str">
        <f>Prices!A14</f>
        <v>Replacement Heifers (per hd)</v>
      </c>
      <c r="B109" s="44">
        <f>Prices!B14</f>
        <v>1200</v>
      </c>
      <c r="C109" s="251">
        <f>Prices!D14</f>
        <v>1525</v>
      </c>
      <c r="D109" s="252"/>
      <c r="E109" s="251">
        <f>Prices!G14</f>
        <v>1326</v>
      </c>
      <c r="F109" s="253"/>
    </row>
    <row r="110" spans="1:6" x14ac:dyDescent="0.25">
      <c r="A110" s="112" t="str">
        <f>Prices!A15</f>
        <v>Dairy Bull Calves (per hd)</v>
      </c>
      <c r="B110" s="44">
        <f>Prices!B15</f>
        <v>150</v>
      </c>
      <c r="C110" s="251">
        <f>Prices!D15</f>
        <v>174</v>
      </c>
      <c r="D110" s="252"/>
      <c r="E110" s="251">
        <f>Prices!G15</f>
        <v>119</v>
      </c>
      <c r="F110" s="253"/>
    </row>
    <row r="111" spans="1:6" x14ac:dyDescent="0.25">
      <c r="A111" s="112" t="str">
        <f>Prices!A16</f>
        <v>Dairy Heifer Calves (per hd)</v>
      </c>
      <c r="B111" s="44">
        <f>Prices!B16</f>
        <v>180</v>
      </c>
      <c r="C111" s="251">
        <f>Prices!D16</f>
        <v>254</v>
      </c>
      <c r="D111" s="252"/>
      <c r="E111" s="251">
        <f>Prices!G16</f>
        <v>227</v>
      </c>
      <c r="F111" s="253"/>
    </row>
    <row r="112" spans="1:6" ht="18" customHeight="1" x14ac:dyDescent="0.25">
      <c r="A112" s="113" t="str">
        <f>Prices!A17</f>
        <v>Dairy Cull cow (per cwt)</v>
      </c>
      <c r="B112" s="98">
        <f>Prices!B17</f>
        <v>67.5</v>
      </c>
      <c r="C112" s="254">
        <f>Prices!D17</f>
        <v>62</v>
      </c>
      <c r="D112" s="255"/>
      <c r="E112" s="254">
        <f>Prices!G17</f>
        <v>65</v>
      </c>
      <c r="F112" s="256"/>
    </row>
    <row r="123" spans="1:11" ht="226.5" customHeight="1" x14ac:dyDescent="0.25">
      <c r="G123" s="102"/>
    </row>
    <row r="124" spans="1:11" ht="45.75" customHeight="1" x14ac:dyDescent="0.25">
      <c r="B124" s="44"/>
      <c r="C124" s="100"/>
      <c r="D124" s="100"/>
      <c r="E124" s="100"/>
      <c r="F124" s="100"/>
      <c r="G124" s="102"/>
    </row>
    <row r="125" spans="1:11" ht="15" customHeight="1" x14ac:dyDescent="0.25">
      <c r="B125" s="44"/>
      <c r="C125" s="100"/>
      <c r="D125" s="100"/>
      <c r="E125" s="100"/>
      <c r="F125" s="100"/>
      <c r="G125" s="102"/>
    </row>
    <row r="126" spans="1:11" ht="15" customHeight="1" x14ac:dyDescent="0.25">
      <c r="B126" s="44"/>
      <c r="C126" s="100"/>
      <c r="D126" s="100"/>
      <c r="E126" s="100"/>
      <c r="F126" s="100"/>
      <c r="G126" s="102"/>
    </row>
    <row r="127" spans="1:11" x14ac:dyDescent="0.25">
      <c r="B127" s="44"/>
      <c r="C127" s="45"/>
      <c r="D127" s="30"/>
      <c r="E127" s="45"/>
      <c r="F127" s="30"/>
    </row>
    <row r="128" spans="1:11" ht="15.75" x14ac:dyDescent="0.25">
      <c r="A128" s="243" t="s">
        <v>34</v>
      </c>
      <c r="B128" s="243"/>
      <c r="C128" s="243"/>
      <c r="D128" s="243"/>
      <c r="E128" s="243"/>
      <c r="F128" s="243"/>
      <c r="G128" s="243"/>
      <c r="H128" s="243"/>
      <c r="I128" s="243"/>
      <c r="J128" s="243"/>
      <c r="K128" s="106"/>
    </row>
    <row r="129" spans="1:11" ht="15.75" x14ac:dyDescent="0.25">
      <c r="A129" s="40" t="s">
        <v>226</v>
      </c>
      <c r="B129" s="40"/>
      <c r="C129" s="40"/>
      <c r="D129" s="40"/>
      <c r="E129" s="40"/>
      <c r="F129" s="40"/>
      <c r="G129" s="40"/>
      <c r="H129" s="40"/>
      <c r="I129" s="40"/>
      <c r="J129" s="239" t="str">
        <f>J94</f>
        <v>Version- 7.5.2017</v>
      </c>
      <c r="K129" s="239"/>
    </row>
  </sheetData>
  <sheetProtection algorithmName="SHA-512" hashValue="CrPiSFNLmhcgtT6FCrfHL+CouHFbsdD7rNHEe5xQz3u9nwMq6mdaYn7R9F/QdAy2xitsq60Zbq+3UHuEzefoLQ==" saltValue="iSYIKi8yQMFr8agrVOnudQ==" spinCount="100000" sheet="1" objects="1" scenarios="1"/>
  <mergeCells count="42">
    <mergeCell ref="C4:D4"/>
    <mergeCell ref="C101:D101"/>
    <mergeCell ref="E101:F101"/>
    <mergeCell ref="G5:I5"/>
    <mergeCell ref="G49:J49"/>
    <mergeCell ref="A46:J46"/>
    <mergeCell ref="A49:F49"/>
    <mergeCell ref="E106:F106"/>
    <mergeCell ref="E105:F105"/>
    <mergeCell ref="E104:F104"/>
    <mergeCell ref="A96:F96"/>
    <mergeCell ref="C104:D104"/>
    <mergeCell ref="C105:D105"/>
    <mergeCell ref="E103:F103"/>
    <mergeCell ref="E102:F102"/>
    <mergeCell ref="C110:D110"/>
    <mergeCell ref="E110:F110"/>
    <mergeCell ref="C111:D111"/>
    <mergeCell ref="C112:D112"/>
    <mergeCell ref="E111:F111"/>
    <mergeCell ref="E112:F112"/>
    <mergeCell ref="E107:F107"/>
    <mergeCell ref="C108:D108"/>
    <mergeCell ref="E108:F108"/>
    <mergeCell ref="C109:D109"/>
    <mergeCell ref="E109:F109"/>
    <mergeCell ref="J129:K129"/>
    <mergeCell ref="M1:U1"/>
    <mergeCell ref="C5:D5"/>
    <mergeCell ref="I4:J4"/>
    <mergeCell ref="A93:J93"/>
    <mergeCell ref="G96:J96"/>
    <mergeCell ref="J94:K94"/>
    <mergeCell ref="I1:K1"/>
    <mergeCell ref="D1:H1"/>
    <mergeCell ref="A1:C1"/>
    <mergeCell ref="C102:D102"/>
    <mergeCell ref="C103:D103"/>
    <mergeCell ref="C106:D106"/>
    <mergeCell ref="J47:K47"/>
    <mergeCell ref="A128:J128"/>
    <mergeCell ref="C107:D107"/>
  </mergeCells>
  <dataValidations count="1">
    <dataValidation type="list" showInputMessage="1" showErrorMessage="1" prompt="Select a price horizon to budget from" sqref="D1">
      <formula1>Prices</formula1>
    </dataValidation>
  </dataValidations>
  <pageMargins left="0.25" right="0.25" top="0.75" bottom="0.5" header="0.3" footer="0"/>
  <pageSetup scale="88" orientation="portrait" horizontalDpi="4294967295" verticalDpi="4294967295" r:id="rId1"/>
  <headerFooter>
    <oddHeader>&amp;L&amp;"-,Bold"&amp;20FARM MANAGEMENT GUIDE</oddHeader>
  </headerFooter>
  <rowBreaks count="2" manualBreakCount="2">
    <brk id="47" max="10" man="1"/>
    <brk id="94"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4117" r:id="rId4" name="Button 21">
              <controlPr defaultSize="0" print="0" autoFill="0" autoPict="0" macro="[0]!PrintPRBudget">
                <anchor moveWithCells="1" sizeWithCells="1">
                  <from>
                    <xdr:col>12</xdr:col>
                    <xdr:colOff>600075</xdr:colOff>
                    <xdr:row>4</xdr:row>
                    <xdr:rowOff>9525</xdr:rowOff>
                  </from>
                  <to>
                    <xdr:col>17</xdr:col>
                    <xdr:colOff>0</xdr:colOff>
                    <xdr:row>5</xdr:row>
                    <xdr:rowOff>171450</xdr:rowOff>
                  </to>
                </anchor>
              </controlPr>
            </control>
          </mc:Choice>
        </mc:AlternateContent>
        <mc:AlternateContent xmlns:mc="http://schemas.openxmlformats.org/markup-compatibility/2006">
          <mc:Choice Requires="x14">
            <control shapeId="4119" r:id="rId5" name="Button 23">
              <controlPr defaultSize="0" print="0" autoFill="0" autoPict="0" macro="[0]!PrintPRSheets">
                <anchor moveWithCells="1" sizeWithCells="1">
                  <from>
                    <xdr:col>12</xdr:col>
                    <xdr:colOff>590550</xdr:colOff>
                    <xdr:row>5</xdr:row>
                    <xdr:rowOff>285750</xdr:rowOff>
                  </from>
                  <to>
                    <xdr:col>17</xdr:col>
                    <xdr:colOff>0</xdr:colOff>
                    <xdr:row>6</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50"/>
  </sheetPr>
  <dimension ref="A1:V140"/>
  <sheetViews>
    <sheetView zoomScaleNormal="100" workbookViewId="0">
      <selection activeCell="D1" sqref="D1:H1"/>
    </sheetView>
  </sheetViews>
  <sheetFormatPr defaultRowHeight="15" x14ac:dyDescent="0.25"/>
  <cols>
    <col min="1" max="1" width="31.85546875" bestFit="1" customWidth="1"/>
    <col min="2" max="2" width="11.5703125" customWidth="1"/>
    <col min="3" max="3" width="13.5703125" customWidth="1"/>
    <col min="4" max="4" width="5.140625" customWidth="1"/>
    <col min="5" max="5" width="10" customWidth="1"/>
    <col min="6" max="6" width="4.85546875" customWidth="1"/>
    <col min="7" max="7" width="2.5703125" customWidth="1"/>
    <col min="8" max="8" width="4.7109375" customWidth="1"/>
    <col min="9" max="9" width="5.140625" customWidth="1"/>
    <col min="10" max="10" width="13.28515625" customWidth="1"/>
    <col min="11" max="11" width="11.7109375" customWidth="1"/>
    <col min="12" max="12" width="37.28515625" hidden="1" customWidth="1"/>
    <col min="13" max="13" width="10.7109375" customWidth="1"/>
    <col min="16" max="16" width="10.5703125" bestFit="1" customWidth="1"/>
  </cols>
  <sheetData>
    <row r="1" spans="1:21" ht="18.75" customHeight="1" x14ac:dyDescent="0.25">
      <c r="A1" s="248" t="s">
        <v>196</v>
      </c>
      <c r="B1" s="248"/>
      <c r="C1" s="248"/>
      <c r="D1" s="247" t="s">
        <v>1</v>
      </c>
      <c r="E1" s="247"/>
      <c r="F1" s="247"/>
      <c r="G1" s="247"/>
      <c r="H1" s="247"/>
      <c r="I1" s="246" t="str">
        <f>IF(D1=Prices!A1,Prices!B5,IF(D1=Prices!A2,Prices!D5,Prices!G5))</f>
        <v>(as of July 1st, 2017)</v>
      </c>
      <c r="J1" s="246"/>
      <c r="K1" s="246"/>
      <c r="M1" s="240" t="s">
        <v>123</v>
      </c>
      <c r="N1" s="240"/>
      <c r="O1" s="240"/>
      <c r="P1" s="240"/>
      <c r="Q1" s="240"/>
      <c r="R1" s="240"/>
      <c r="S1" s="240"/>
      <c r="T1" s="240"/>
      <c r="U1" s="240"/>
    </row>
    <row r="2" spans="1:21" x14ac:dyDescent="0.25">
      <c r="A2" s="1"/>
      <c r="B2" s="2"/>
      <c r="C2" s="3"/>
      <c r="D2" s="4"/>
      <c r="E2" s="3"/>
      <c r="F2" s="3"/>
      <c r="G2" s="4"/>
      <c r="H2" s="3"/>
      <c r="I2" s="4"/>
      <c r="J2" s="3"/>
      <c r="K2" s="3"/>
    </row>
    <row r="3" spans="1:21" x14ac:dyDescent="0.25">
      <c r="A3" s="5" t="s">
        <v>2</v>
      </c>
      <c r="D3" s="137"/>
      <c r="G3" s="137"/>
      <c r="I3" s="137"/>
      <c r="L3" s="150" t="s">
        <v>208</v>
      </c>
    </row>
    <row r="4" spans="1:21" x14ac:dyDescent="0.25">
      <c r="A4" t="s">
        <v>3</v>
      </c>
      <c r="B4" s="169">
        <v>23500</v>
      </c>
      <c r="C4" s="241" t="s">
        <v>45</v>
      </c>
      <c r="D4" s="241"/>
      <c r="E4" s="170">
        <v>0.27</v>
      </c>
      <c r="G4" s="263" t="s">
        <v>209</v>
      </c>
      <c r="H4" s="263"/>
      <c r="I4" s="263"/>
      <c r="J4" s="263"/>
      <c r="K4" s="171">
        <v>0.46</v>
      </c>
      <c r="L4" s="150"/>
    </row>
    <row r="5" spans="1:21" x14ac:dyDescent="0.25">
      <c r="A5" t="s">
        <v>101</v>
      </c>
      <c r="B5" s="170">
        <v>0.05</v>
      </c>
      <c r="C5" s="241" t="s">
        <v>102</v>
      </c>
      <c r="D5" s="241"/>
      <c r="E5" s="170">
        <v>0.02</v>
      </c>
      <c r="F5" s="9"/>
      <c r="G5" s="241" t="s">
        <v>210</v>
      </c>
      <c r="H5" s="241"/>
      <c r="I5" s="241"/>
      <c r="J5" s="241"/>
      <c r="K5" s="178">
        <v>0.09</v>
      </c>
      <c r="L5" s="150"/>
    </row>
    <row r="6" spans="1:21" x14ac:dyDescent="0.25">
      <c r="A6" t="s">
        <v>190</v>
      </c>
      <c r="B6" s="99">
        <f>0.5-B5-E5-K5</f>
        <v>0.33999999999999997</v>
      </c>
      <c r="C6" s="153"/>
      <c r="D6" s="153"/>
      <c r="E6" s="58"/>
      <c r="F6" s="9"/>
      <c r="G6" s="153"/>
      <c r="H6" s="153"/>
      <c r="I6" s="153"/>
      <c r="J6" s="153"/>
      <c r="K6" s="151"/>
      <c r="L6" s="150"/>
    </row>
    <row r="7" spans="1:21" ht="27" customHeight="1" x14ac:dyDescent="0.25">
      <c r="D7" s="137"/>
      <c r="G7" s="137"/>
      <c r="I7" s="137"/>
      <c r="L7" s="150"/>
    </row>
    <row r="8" spans="1:21" ht="45" x14ac:dyDescent="0.25">
      <c r="A8" s="119" t="s">
        <v>4</v>
      </c>
      <c r="B8" s="119" t="s">
        <v>0</v>
      </c>
      <c r="C8" s="119" t="s">
        <v>5</v>
      </c>
      <c r="D8" s="119"/>
      <c r="E8" s="119" t="s">
        <v>6</v>
      </c>
      <c r="F8" s="119" t="s">
        <v>5</v>
      </c>
      <c r="G8" s="119"/>
      <c r="H8" s="119"/>
      <c r="I8" s="119"/>
      <c r="J8" s="119" t="s">
        <v>109</v>
      </c>
      <c r="K8" s="119" t="s">
        <v>119</v>
      </c>
      <c r="L8" s="150"/>
    </row>
    <row r="9" spans="1:21" x14ac:dyDescent="0.25">
      <c r="A9" t="s">
        <v>7</v>
      </c>
      <c r="B9" s="172">
        <f>IF(D1=Prices!A1,Prices!B13,IF(D1=Prices!A2,Prices!D13,IF(D1=Prices!A3,Prices!G13,"")))</f>
        <v>15.4</v>
      </c>
      <c r="C9" s="11" t="s">
        <v>8</v>
      </c>
      <c r="D9" s="137" t="s">
        <v>9</v>
      </c>
      <c r="E9" s="12">
        <f>B4</f>
        <v>23500</v>
      </c>
      <c r="F9" s="11" t="s">
        <v>10</v>
      </c>
      <c r="G9" s="137"/>
      <c r="H9" s="13"/>
      <c r="I9" s="14" t="s">
        <v>11</v>
      </c>
      <c r="J9" s="15">
        <f>B9*(E9/100)</f>
        <v>3619</v>
      </c>
      <c r="K9" s="15">
        <f>B9</f>
        <v>15.4</v>
      </c>
      <c r="L9" s="150"/>
    </row>
    <row r="10" spans="1:21" x14ac:dyDescent="0.25">
      <c r="A10" t="s">
        <v>124</v>
      </c>
      <c r="B10" s="172">
        <v>0</v>
      </c>
      <c r="C10" s="11" t="s">
        <v>8</v>
      </c>
      <c r="D10" s="137" t="s">
        <v>9</v>
      </c>
      <c r="E10" s="12">
        <f>B4</f>
        <v>23500</v>
      </c>
      <c r="F10" s="11" t="s">
        <v>10</v>
      </c>
      <c r="G10" s="137"/>
      <c r="H10" s="13"/>
      <c r="I10" s="14" t="s">
        <v>11</v>
      </c>
      <c r="J10" s="15">
        <f>B10*E10</f>
        <v>0</v>
      </c>
      <c r="K10" s="118">
        <f>B10</f>
        <v>0</v>
      </c>
      <c r="L10" s="150"/>
    </row>
    <row r="11" spans="1:21" x14ac:dyDescent="0.25">
      <c r="A11" t="s">
        <v>12</v>
      </c>
      <c r="B11" s="173">
        <f>IF(D1=Prices!A1,Prices!B15,IF(D1=Prices!A2,Prices!D15,IF(D1=Prices!A3,Prices!G15,"")))</f>
        <v>150</v>
      </c>
      <c r="C11" s="11" t="s">
        <v>43</v>
      </c>
      <c r="D11" s="137" t="s">
        <v>9</v>
      </c>
      <c r="E11" s="25">
        <f>K4</f>
        <v>0.46</v>
      </c>
      <c r="F11" s="11" t="s">
        <v>46</v>
      </c>
      <c r="G11" s="137"/>
      <c r="H11" s="13"/>
      <c r="I11" s="14" t="s">
        <v>11</v>
      </c>
      <c r="J11" s="15">
        <f>B11*E11</f>
        <v>69</v>
      </c>
      <c r="K11" s="15">
        <f>J11/B4*100</f>
        <v>0.29361702127659572</v>
      </c>
      <c r="L11" s="150"/>
    </row>
    <row r="12" spans="1:21" x14ac:dyDescent="0.25">
      <c r="A12" t="s">
        <v>13</v>
      </c>
      <c r="B12" s="173">
        <f>IF(D1=Prices!A1,Prices!B17,IF(D1=Prices!A2,Prices!D17,IF(D1=Prices!A3,Prices!G17,"")))</f>
        <v>67.5</v>
      </c>
      <c r="C12" s="11" t="s">
        <v>8</v>
      </c>
      <c r="D12" s="137" t="s">
        <v>9</v>
      </c>
      <c r="E12" s="174">
        <v>1350</v>
      </c>
      <c r="F12" s="11" t="s">
        <v>10</v>
      </c>
      <c r="G12" s="137" t="s">
        <v>9</v>
      </c>
      <c r="H12" s="13">
        <f>E4</f>
        <v>0.27</v>
      </c>
      <c r="I12" s="14" t="s">
        <v>11</v>
      </c>
      <c r="J12" s="24">
        <f>B12*(E12/100)*H12</f>
        <v>246.03750000000002</v>
      </c>
      <c r="K12" s="24">
        <f>J12/$B$4*100</f>
        <v>1.0469680851063832</v>
      </c>
      <c r="L12" s="150"/>
    </row>
    <row r="13" spans="1:21" x14ac:dyDescent="0.25">
      <c r="A13" t="s">
        <v>101</v>
      </c>
      <c r="B13" s="173">
        <f>IF(D1=Prices!A1,Prices!B18,IF(D1=Prices!A2,Prices!D18,IF(D1=Prices!A3,Prices!G18,"")))</f>
        <v>104.9</v>
      </c>
      <c r="C13" s="11" t="s">
        <v>8</v>
      </c>
      <c r="D13" s="148" t="s">
        <v>9</v>
      </c>
      <c r="E13" s="174">
        <v>1250</v>
      </c>
      <c r="F13" s="11" t="s">
        <v>10</v>
      </c>
      <c r="G13" s="148" t="s">
        <v>9</v>
      </c>
      <c r="H13" s="156">
        <f>B5</f>
        <v>0.05</v>
      </c>
      <c r="I13" s="14" t="s">
        <v>11</v>
      </c>
      <c r="J13" s="15">
        <f>(B13*(E13/100))*H13</f>
        <v>65.5625</v>
      </c>
      <c r="K13" s="24">
        <f t="shared" ref="K13:K14" si="0">J13/$B$4*100</f>
        <v>0.27898936170212763</v>
      </c>
      <c r="L13" s="150"/>
    </row>
    <row r="14" spans="1:21" x14ac:dyDescent="0.25">
      <c r="A14" t="s">
        <v>102</v>
      </c>
      <c r="B14" s="173">
        <f>IF(D1=Prices!A1,Prices!B19,IF(D1=Prices!A2,Prices!D19,IF(D1=Prices!A3,Prices!G19,"")))</f>
        <v>133.94999999999999</v>
      </c>
      <c r="C14" s="11" t="s">
        <v>8</v>
      </c>
      <c r="D14" s="148" t="s">
        <v>9</v>
      </c>
      <c r="E14" s="174">
        <v>725</v>
      </c>
      <c r="F14" s="11" t="s">
        <v>10</v>
      </c>
      <c r="G14" s="148" t="s">
        <v>9</v>
      </c>
      <c r="H14" s="156">
        <f>E5</f>
        <v>0.02</v>
      </c>
      <c r="I14" s="14" t="s">
        <v>11</v>
      </c>
      <c r="J14" s="15">
        <f>B14*(E14/100)*H14</f>
        <v>19.422750000000001</v>
      </c>
      <c r="K14" s="24">
        <f t="shared" si="0"/>
        <v>8.2650000000000001E-2</v>
      </c>
      <c r="L14" s="150"/>
      <c r="O14" s="13"/>
    </row>
    <row r="15" spans="1:21" x14ac:dyDescent="0.25">
      <c r="A15" t="s">
        <v>14</v>
      </c>
      <c r="B15" s="16"/>
      <c r="C15" s="11"/>
      <c r="D15" s="137"/>
      <c r="E15" s="18"/>
      <c r="F15" s="11"/>
      <c r="G15" s="137"/>
      <c r="H15" s="13"/>
      <c r="I15" s="14"/>
      <c r="J15" s="173">
        <f>135+(40*B6)</f>
        <v>148.6</v>
      </c>
      <c r="K15" s="24">
        <f>J15/B4*100</f>
        <v>0.63234042553191494</v>
      </c>
      <c r="L15" s="150"/>
    </row>
    <row r="16" spans="1:21" x14ac:dyDescent="0.25">
      <c r="A16" t="s">
        <v>15</v>
      </c>
      <c r="B16" s="16"/>
      <c r="C16" s="11"/>
      <c r="D16" s="137"/>
      <c r="E16" s="18"/>
      <c r="F16" s="11"/>
      <c r="G16" s="137"/>
      <c r="H16" s="13"/>
      <c r="I16" s="14"/>
      <c r="J16" s="173">
        <v>79</v>
      </c>
      <c r="K16" s="24">
        <f>J16/B4*100</f>
        <v>0.33617021276595743</v>
      </c>
      <c r="L16" s="150"/>
    </row>
    <row r="17" spans="1:22" x14ac:dyDescent="0.25">
      <c r="A17" s="19" t="s">
        <v>16</v>
      </c>
      <c r="B17" s="20"/>
      <c r="C17" s="20"/>
      <c r="D17" s="143"/>
      <c r="E17" s="20"/>
      <c r="F17" s="20"/>
      <c r="G17" s="143"/>
      <c r="H17" s="20"/>
      <c r="I17" s="143"/>
      <c r="J17" s="22">
        <f>SUM(J9:J16)</f>
        <v>4246.6227500000005</v>
      </c>
      <c r="K17" s="22">
        <f>SUM(K9:K16)</f>
        <v>18.07073510638298</v>
      </c>
      <c r="L17" s="150"/>
      <c r="M17" s="15"/>
    </row>
    <row r="18" spans="1:22" x14ac:dyDescent="0.25">
      <c r="A18" s="23"/>
      <c r="D18" s="137"/>
      <c r="G18" s="137"/>
      <c r="I18" s="137"/>
      <c r="L18" s="150"/>
      <c r="V18" s="15"/>
    </row>
    <row r="19" spans="1:22" x14ac:dyDescent="0.25">
      <c r="A19" s="119" t="s">
        <v>17</v>
      </c>
      <c r="B19" s="20"/>
      <c r="C19" s="20"/>
      <c r="D19" s="143"/>
      <c r="E19" s="20"/>
      <c r="F19" s="20"/>
      <c r="G19" s="143"/>
      <c r="H19" s="20"/>
      <c r="I19" s="143"/>
      <c r="J19" s="20"/>
      <c r="K19" s="20"/>
      <c r="L19" s="150"/>
      <c r="V19" s="15"/>
    </row>
    <row r="20" spans="1:22" x14ac:dyDescent="0.25">
      <c r="A20" s="26" t="s">
        <v>188</v>
      </c>
      <c r="B20" s="175">
        <f>IF(D1="Current Prices", Prices!B11,IF(D1="One Year Out Prices", Prices!D11, IF(D1="Five Years Out Prices", Prices!G11,"")))</f>
        <v>822</v>
      </c>
      <c r="C20" s="11" t="s">
        <v>189</v>
      </c>
      <c r="D20" s="148"/>
      <c r="F20" s="11"/>
      <c r="G20" s="148" t="s">
        <v>9</v>
      </c>
      <c r="H20" s="25">
        <f>B6+(0.5*(B5+E5+K5))</f>
        <v>0.42</v>
      </c>
      <c r="I20" s="14"/>
      <c r="J20" s="173">
        <f>B20*H20</f>
        <v>345.24</v>
      </c>
      <c r="K20" s="24">
        <f>J20/$B$4*100</f>
        <v>1.4691063829787234</v>
      </c>
      <c r="L20" s="150"/>
    </row>
    <row r="21" spans="1:22" x14ac:dyDescent="0.25">
      <c r="A21" t="s">
        <v>227</v>
      </c>
      <c r="B21" s="175">
        <f>IF(D1="Current Prices", (26.29174+(0.092494*Prices!B9)+(0.018169*Prices!B9^2)+(-0.00265*B4)+(0.0000000719*B4^2)),IF(D1="One Year Out Prices", (26.29174+(0.092494*Prices!D9)+(0.018169*Prices!D9^2)+(-0.00265*B4)+(0.0000000719*B4^2)), IF(D1="Five Years Out Prices", (26.29174+(0.092494*Prices!G9)+(0.018169*Prices!G9^2)+(-0.00265*B4)+(0.0000000719*B4^2)),"")))</f>
        <v>5.5143773464390051</v>
      </c>
      <c r="C21" s="11" t="s">
        <v>125</v>
      </c>
      <c r="D21" s="152" t="s">
        <v>9</v>
      </c>
      <c r="E21" s="12">
        <v>365</v>
      </c>
      <c r="F21" s="11" t="s">
        <v>49</v>
      </c>
      <c r="G21" s="152"/>
      <c r="H21" s="13"/>
      <c r="I21" s="14"/>
      <c r="J21" s="173">
        <f>B21*E21</f>
        <v>2012.7477314502369</v>
      </c>
      <c r="K21" s="24">
        <f>J21/$B$4*100</f>
        <v>8.5648839636180298</v>
      </c>
      <c r="L21" s="150" t="s">
        <v>177</v>
      </c>
      <c r="N21" s="104"/>
    </row>
    <row r="22" spans="1:22" x14ac:dyDescent="0.25">
      <c r="A22" s="26" t="s">
        <v>191</v>
      </c>
      <c r="B22" s="24"/>
      <c r="C22" s="11"/>
      <c r="D22" s="137"/>
      <c r="E22" s="25"/>
      <c r="F22" s="11"/>
      <c r="G22" s="137"/>
      <c r="H22" s="13"/>
      <c r="I22" s="14"/>
      <c r="J22" s="173">
        <v>71</v>
      </c>
      <c r="K22" s="24">
        <f t="shared" ref="K22:K33" si="1">J22/$B$4*100</f>
        <v>0.30212765957446808</v>
      </c>
      <c r="L22" s="150" t="s">
        <v>179</v>
      </c>
      <c r="N22" s="104"/>
      <c r="O22" s="181"/>
    </row>
    <row r="23" spans="1:22" x14ac:dyDescent="0.25">
      <c r="A23" s="26" t="s">
        <v>157</v>
      </c>
      <c r="B23" s="173">
        <v>13.5</v>
      </c>
      <c r="C23" s="11" t="s">
        <v>18</v>
      </c>
      <c r="D23" s="137" t="s">
        <v>9</v>
      </c>
      <c r="E23" s="176">
        <v>38.5</v>
      </c>
      <c r="F23" s="11" t="s">
        <v>19</v>
      </c>
      <c r="G23" s="137"/>
      <c r="H23" s="13"/>
      <c r="I23" s="14" t="s">
        <v>11</v>
      </c>
      <c r="J23" s="24">
        <f>B23*E23</f>
        <v>519.75</v>
      </c>
      <c r="K23" s="24">
        <f t="shared" si="1"/>
        <v>2.2117021276595743</v>
      </c>
      <c r="L23" s="155" t="s">
        <v>182</v>
      </c>
      <c r="N23" s="104"/>
      <c r="O23" s="181"/>
    </row>
    <row r="24" spans="1:22" x14ac:dyDescent="0.25">
      <c r="A24" s="26" t="s">
        <v>156</v>
      </c>
      <c r="B24" s="173">
        <v>25</v>
      </c>
      <c r="C24" s="11" t="s">
        <v>18</v>
      </c>
      <c r="D24" s="153" t="s">
        <v>9</v>
      </c>
      <c r="E24" s="176">
        <v>10.5</v>
      </c>
      <c r="F24" s="11" t="s">
        <v>19</v>
      </c>
      <c r="G24" s="153"/>
      <c r="H24" s="13"/>
      <c r="I24" s="14" t="s">
        <v>11</v>
      </c>
      <c r="J24" s="24">
        <f>B24*E24</f>
        <v>262.5</v>
      </c>
      <c r="K24" s="24">
        <f t="shared" ref="K24" si="2">J24/$B$4*100</f>
        <v>1.1170212765957448</v>
      </c>
      <c r="L24" s="155"/>
      <c r="N24" s="104"/>
      <c r="O24" s="181"/>
    </row>
    <row r="25" spans="1:22" x14ac:dyDescent="0.25">
      <c r="A25" s="26" t="s">
        <v>203</v>
      </c>
      <c r="B25" s="16"/>
      <c r="C25" s="11"/>
      <c r="D25" s="137"/>
      <c r="E25" s="27"/>
      <c r="F25" s="11"/>
      <c r="G25" s="137"/>
      <c r="H25" s="13"/>
      <c r="I25" s="14"/>
      <c r="J25" s="173">
        <v>116</v>
      </c>
      <c r="K25" s="24">
        <f t="shared" si="1"/>
        <v>0.49361702127659579</v>
      </c>
      <c r="L25" s="150" t="s">
        <v>187</v>
      </c>
      <c r="M25" s="15"/>
      <c r="N25" s="104"/>
      <c r="O25" s="181"/>
    </row>
    <row r="26" spans="1:22" x14ac:dyDescent="0.25">
      <c r="A26" t="s">
        <v>132</v>
      </c>
      <c r="B26" s="16"/>
      <c r="C26" s="11"/>
      <c r="D26" s="137"/>
      <c r="E26" s="18"/>
      <c r="F26" s="11"/>
      <c r="G26" s="137"/>
      <c r="H26" s="13"/>
      <c r="I26" s="14"/>
      <c r="J26" s="173">
        <v>134</v>
      </c>
      <c r="K26" s="24">
        <f t="shared" si="1"/>
        <v>0.57021276595744685</v>
      </c>
      <c r="L26" s="150" t="s">
        <v>179</v>
      </c>
      <c r="N26" s="104"/>
      <c r="O26" s="181"/>
    </row>
    <row r="27" spans="1:22" x14ac:dyDescent="0.25">
      <c r="A27" t="s">
        <v>181</v>
      </c>
      <c r="B27" s="16"/>
      <c r="C27" s="11"/>
      <c r="D27" s="137"/>
      <c r="E27" s="18"/>
      <c r="F27" s="11"/>
      <c r="G27" s="137"/>
      <c r="H27" s="13"/>
      <c r="I27" s="14"/>
      <c r="J27" s="173">
        <v>101</v>
      </c>
      <c r="K27" s="24">
        <f t="shared" si="1"/>
        <v>0.4297872340425532</v>
      </c>
      <c r="L27" s="150" t="s">
        <v>179</v>
      </c>
      <c r="N27" s="104"/>
      <c r="O27" s="181"/>
    </row>
    <row r="28" spans="1:22" x14ac:dyDescent="0.25">
      <c r="A28" s="26" t="s">
        <v>183</v>
      </c>
      <c r="B28" s="16"/>
      <c r="C28" s="11"/>
      <c r="D28" s="137"/>
      <c r="E28" s="18"/>
      <c r="F28" s="11"/>
      <c r="G28" s="137"/>
      <c r="H28" s="13"/>
      <c r="I28" s="14"/>
      <c r="J28" s="173">
        <v>72</v>
      </c>
      <c r="K28" s="24">
        <f t="shared" si="1"/>
        <v>0.30638297872340425</v>
      </c>
      <c r="L28" s="150" t="s">
        <v>184</v>
      </c>
      <c r="N28" s="104"/>
      <c r="O28" s="181"/>
    </row>
    <row r="29" spans="1:22" x14ac:dyDescent="0.25">
      <c r="A29" t="s">
        <v>21</v>
      </c>
      <c r="B29" s="16"/>
      <c r="C29" s="11"/>
      <c r="D29" s="137"/>
      <c r="E29" s="18"/>
      <c r="F29" s="11"/>
      <c r="G29" s="137"/>
      <c r="H29" s="13"/>
      <c r="I29" s="14"/>
      <c r="J29" s="173">
        <v>190</v>
      </c>
      <c r="K29" s="24">
        <f t="shared" si="1"/>
        <v>0.80851063829787229</v>
      </c>
      <c r="L29" s="150" t="s">
        <v>179</v>
      </c>
      <c r="N29" s="104"/>
      <c r="O29" s="181"/>
    </row>
    <row r="30" spans="1:22" x14ac:dyDescent="0.25">
      <c r="A30" t="s">
        <v>131</v>
      </c>
      <c r="B30" s="16"/>
      <c r="C30" s="11"/>
      <c r="D30" s="137"/>
      <c r="E30" s="18"/>
      <c r="F30" s="11"/>
      <c r="G30" s="137"/>
      <c r="H30" s="13"/>
      <c r="I30" s="14"/>
      <c r="J30" s="173">
        <v>114</v>
      </c>
      <c r="K30" s="24">
        <f t="shared" si="1"/>
        <v>0.48510638297872338</v>
      </c>
      <c r="L30" s="150" t="s">
        <v>179</v>
      </c>
      <c r="N30" s="104"/>
      <c r="O30" s="181"/>
    </row>
    <row r="31" spans="1:22" x14ac:dyDescent="0.25">
      <c r="A31" t="s">
        <v>200</v>
      </c>
      <c r="B31" s="16"/>
      <c r="C31" s="11"/>
      <c r="D31" s="153"/>
      <c r="E31" s="18"/>
      <c r="F31" s="11"/>
      <c r="G31" s="153"/>
      <c r="H31" s="13"/>
      <c r="I31" s="14"/>
      <c r="J31" s="173">
        <v>75</v>
      </c>
      <c r="K31" s="24">
        <f t="shared" si="1"/>
        <v>0.31914893617021273</v>
      </c>
      <c r="L31" s="150" t="s">
        <v>179</v>
      </c>
      <c r="N31" s="104"/>
      <c r="O31" s="181"/>
    </row>
    <row r="32" spans="1:22" x14ac:dyDescent="0.25">
      <c r="A32" t="s">
        <v>207</v>
      </c>
      <c r="D32" s="137"/>
      <c r="G32" s="137"/>
      <c r="I32" s="137"/>
      <c r="J32" s="173">
        <v>123</v>
      </c>
      <c r="K32" s="24">
        <f>J32/$B$4*100</f>
        <v>0.52340425531914891</v>
      </c>
      <c r="L32" s="150" t="s">
        <v>185</v>
      </c>
      <c r="N32" s="104"/>
      <c r="O32" s="181"/>
    </row>
    <row r="33" spans="1:16" x14ac:dyDescent="0.25">
      <c r="A33" t="s">
        <v>22</v>
      </c>
      <c r="B33" s="16"/>
      <c r="C33" s="11"/>
      <c r="D33" s="137"/>
      <c r="E33" s="18"/>
      <c r="F33" s="11"/>
      <c r="G33" s="137"/>
      <c r="H33" s="13"/>
      <c r="I33" s="14"/>
      <c r="J33" s="173">
        <v>278</v>
      </c>
      <c r="K33" s="24">
        <f t="shared" si="1"/>
        <v>1.1829787234042555</v>
      </c>
      <c r="L33" s="150" t="s">
        <v>214</v>
      </c>
      <c r="N33" s="104"/>
      <c r="O33" s="181"/>
    </row>
    <row r="34" spans="1:16" x14ac:dyDescent="0.25">
      <c r="A34" s="23" t="s">
        <v>23</v>
      </c>
      <c r="D34" s="137"/>
      <c r="G34" s="137"/>
      <c r="I34" s="137"/>
      <c r="J34" s="28">
        <f>SUM(J20:J33)</f>
        <v>4414.2377314502373</v>
      </c>
      <c r="K34" s="28">
        <f>SUM(K20:K33)</f>
        <v>18.783990346596752</v>
      </c>
      <c r="L34" s="150"/>
      <c r="N34" s="104"/>
      <c r="O34" s="181"/>
    </row>
    <row r="35" spans="1:16" x14ac:dyDescent="0.25">
      <c r="D35" s="137"/>
      <c r="G35" s="137"/>
      <c r="I35" s="137"/>
      <c r="L35" s="150"/>
      <c r="N35" s="104"/>
      <c r="O35" s="181"/>
    </row>
    <row r="36" spans="1:16" x14ac:dyDescent="0.25">
      <c r="A36" s="119" t="s">
        <v>24</v>
      </c>
      <c r="B36" s="20"/>
      <c r="C36" s="20"/>
      <c r="D36" s="143"/>
      <c r="E36" s="20"/>
      <c r="F36" s="20"/>
      <c r="G36" s="143"/>
      <c r="H36" s="20"/>
      <c r="I36" s="143"/>
      <c r="J36" s="20"/>
      <c r="K36" s="20"/>
      <c r="L36" s="150"/>
      <c r="N36" s="104"/>
      <c r="O36" s="181"/>
    </row>
    <row r="37" spans="1:16" x14ac:dyDescent="0.25">
      <c r="A37" t="s">
        <v>25</v>
      </c>
      <c r="D37" s="137"/>
      <c r="G37" s="137"/>
      <c r="I37" s="137"/>
      <c r="J37" s="173">
        <v>192</v>
      </c>
      <c r="K37" s="24">
        <f>J37/$B$4*100</f>
        <v>0.81702127659574464</v>
      </c>
      <c r="L37" s="150" t="s">
        <v>179</v>
      </c>
      <c r="N37" s="104"/>
      <c r="O37" s="181"/>
    </row>
    <row r="38" spans="1:16" x14ac:dyDescent="0.25">
      <c r="A38" t="s">
        <v>27</v>
      </c>
      <c r="D38" s="137"/>
      <c r="G38" s="137"/>
      <c r="I38" s="137"/>
      <c r="J38" s="173">
        <v>53</v>
      </c>
      <c r="K38" s="24">
        <f t="shared" ref="K38:K40" si="3">J38/$B$4*100</f>
        <v>0.22553191489361701</v>
      </c>
      <c r="L38" s="150" t="s">
        <v>179</v>
      </c>
      <c r="N38" s="104"/>
      <c r="O38" s="181"/>
    </row>
    <row r="39" spans="1:16" x14ac:dyDescent="0.25">
      <c r="A39" s="29" t="s">
        <v>28</v>
      </c>
      <c r="B39" s="29"/>
      <c r="C39" s="29"/>
      <c r="D39" s="141"/>
      <c r="E39" s="29"/>
      <c r="F39" s="29"/>
      <c r="G39" s="141"/>
      <c r="H39" s="29"/>
      <c r="I39" s="141"/>
      <c r="J39" s="177">
        <v>260</v>
      </c>
      <c r="K39" s="24">
        <f t="shared" si="3"/>
        <v>1.1063829787234043</v>
      </c>
      <c r="L39" s="150" t="s">
        <v>223</v>
      </c>
      <c r="M39" s="15"/>
      <c r="N39" s="104"/>
      <c r="O39" s="181"/>
      <c r="P39" s="15"/>
    </row>
    <row r="40" spans="1:16" x14ac:dyDescent="0.25">
      <c r="A40" s="31" t="s">
        <v>29</v>
      </c>
      <c r="B40" s="29"/>
      <c r="C40" s="29"/>
      <c r="D40" s="141"/>
      <c r="E40" s="29"/>
      <c r="F40" s="29"/>
      <c r="G40" s="141"/>
      <c r="H40" s="29"/>
      <c r="I40" s="141"/>
      <c r="J40" s="177">
        <v>133</v>
      </c>
      <c r="K40" s="24">
        <f t="shared" si="3"/>
        <v>0.56595744680851068</v>
      </c>
      <c r="L40" s="150" t="s">
        <v>185</v>
      </c>
      <c r="N40" s="104"/>
      <c r="O40" s="181"/>
    </row>
    <row r="41" spans="1:16" x14ac:dyDescent="0.25">
      <c r="A41" s="32" t="s">
        <v>30</v>
      </c>
      <c r="B41" s="33"/>
      <c r="C41" s="33"/>
      <c r="D41" s="142"/>
      <c r="E41" s="33"/>
      <c r="F41" s="33"/>
      <c r="G41" s="142"/>
      <c r="H41" s="33"/>
      <c r="I41" s="142"/>
      <c r="J41" s="35">
        <f>SUM(J37:J40)</f>
        <v>638</v>
      </c>
      <c r="K41" s="35">
        <f>SUM(K37:K40)</f>
        <v>2.7148936170212763</v>
      </c>
      <c r="L41" s="150"/>
      <c r="N41" s="104"/>
      <c r="O41" s="181"/>
    </row>
    <row r="42" spans="1:16" x14ac:dyDescent="0.25">
      <c r="B42" s="16"/>
      <c r="C42" s="11"/>
      <c r="D42" s="137"/>
      <c r="E42" s="18"/>
      <c r="F42" s="11"/>
      <c r="G42" s="137"/>
      <c r="H42" s="13"/>
      <c r="I42" s="14"/>
      <c r="J42" s="16"/>
      <c r="K42" s="16"/>
      <c r="L42" s="150"/>
      <c r="N42" s="104"/>
      <c r="O42" s="181"/>
    </row>
    <row r="43" spans="1:16" x14ac:dyDescent="0.25">
      <c r="A43" s="119" t="s">
        <v>31</v>
      </c>
      <c r="B43" s="20"/>
      <c r="C43" s="20"/>
      <c r="D43" s="143"/>
      <c r="E43" s="20"/>
      <c r="F43" s="20"/>
      <c r="G43" s="143"/>
      <c r="H43" s="20"/>
      <c r="I43" s="143"/>
      <c r="J43" s="22">
        <f>J34+J41</f>
        <v>5052.2377314502373</v>
      </c>
      <c r="K43" s="22">
        <f>K34+K41</f>
        <v>21.498883963618027</v>
      </c>
      <c r="L43" s="150" t="s">
        <v>178</v>
      </c>
      <c r="N43" s="104"/>
      <c r="O43" s="181"/>
    </row>
    <row r="44" spans="1:16" x14ac:dyDescent="0.25">
      <c r="D44" s="137"/>
      <c r="G44" s="137"/>
      <c r="I44" s="137"/>
      <c r="L44" s="150"/>
    </row>
    <row r="45" spans="1:16" x14ac:dyDescent="0.25">
      <c r="A45" t="s">
        <v>32</v>
      </c>
      <c r="D45" s="137"/>
      <c r="G45" s="137"/>
      <c r="I45" s="137"/>
      <c r="J45" s="15">
        <f>J17-J34</f>
        <v>-167.61498145023688</v>
      </c>
      <c r="K45" s="15">
        <f>K17-K34</f>
        <v>-0.71325524021377262</v>
      </c>
      <c r="L45" s="150"/>
    </row>
    <row r="46" spans="1:16" ht="15.75" thickBot="1" x14ac:dyDescent="0.3">
      <c r="A46" s="36" t="s">
        <v>33</v>
      </c>
      <c r="D46" s="137"/>
      <c r="G46" s="137"/>
      <c r="I46" s="137"/>
      <c r="J46" s="37">
        <f>J17-J43</f>
        <v>-805.61498145023688</v>
      </c>
      <c r="K46" s="37">
        <f>K17-K43</f>
        <v>-3.4281488572350476</v>
      </c>
      <c r="L46" s="150"/>
      <c r="M46" s="104"/>
    </row>
    <row r="47" spans="1:16" ht="15.75" thickTop="1" x14ac:dyDescent="0.25"/>
    <row r="48" spans="1:16" x14ac:dyDescent="0.25">
      <c r="A48" s="243" t="s">
        <v>34</v>
      </c>
      <c r="B48" s="244"/>
      <c r="C48" s="244"/>
      <c r="D48" s="244"/>
      <c r="E48" s="244"/>
      <c r="F48" s="244"/>
      <c r="G48" s="244"/>
      <c r="H48" s="244"/>
      <c r="I48" s="244"/>
      <c r="J48" s="244"/>
      <c r="K48" s="109"/>
    </row>
    <row r="49" spans="1:11" ht="15.75" x14ac:dyDescent="0.25">
      <c r="A49" s="40" t="s">
        <v>228</v>
      </c>
      <c r="B49" s="40"/>
      <c r="C49" s="40"/>
      <c r="D49" s="40"/>
      <c r="E49" s="40"/>
      <c r="F49" s="40"/>
      <c r="G49" s="40"/>
      <c r="H49" s="40"/>
      <c r="I49" s="40"/>
      <c r="J49" s="239" t="str">
        <f>Introduction!L8</f>
        <v>Version- 7.5.2017</v>
      </c>
      <c r="K49" s="239"/>
    </row>
    <row r="50" spans="1:11" ht="23.25" customHeight="1" x14ac:dyDescent="0.25">
      <c r="B50" s="41"/>
    </row>
    <row r="51" spans="1:11" ht="19.5" customHeight="1" thickBot="1" x14ac:dyDescent="0.35">
      <c r="A51" s="257" t="s">
        <v>196</v>
      </c>
      <c r="B51" s="257"/>
      <c r="C51" s="257"/>
      <c r="D51" s="257"/>
      <c r="E51" s="257"/>
      <c r="F51" s="257"/>
      <c r="G51" s="245"/>
      <c r="H51" s="245"/>
      <c r="I51" s="245"/>
      <c r="J51" s="245"/>
      <c r="K51" s="139"/>
    </row>
    <row r="94" spans="1:11" ht="64.5" customHeight="1" x14ac:dyDescent="0.25"/>
    <row r="95" spans="1:11" x14ac:dyDescent="0.25">
      <c r="A95" s="243" t="s">
        <v>34</v>
      </c>
      <c r="B95" s="244"/>
      <c r="C95" s="244"/>
      <c r="D95" s="244"/>
      <c r="E95" s="244"/>
      <c r="F95" s="244"/>
      <c r="G95" s="244"/>
      <c r="H95" s="244"/>
      <c r="I95" s="244"/>
      <c r="J95" s="244"/>
      <c r="K95" s="109"/>
    </row>
    <row r="96" spans="1:11" ht="15.75" x14ac:dyDescent="0.25">
      <c r="A96" s="40" t="s">
        <v>228</v>
      </c>
      <c r="B96" s="40"/>
      <c r="C96" s="40"/>
      <c r="D96" s="40"/>
      <c r="E96" s="40"/>
      <c r="F96" s="40"/>
      <c r="G96" s="40"/>
      <c r="H96" s="40"/>
      <c r="I96" s="40"/>
      <c r="J96" s="239" t="str">
        <f>J49</f>
        <v>Version- 7.5.2017</v>
      </c>
      <c r="K96" s="239"/>
    </row>
    <row r="97" spans="1:11" ht="15.75" x14ac:dyDescent="0.25">
      <c r="A97" s="42"/>
      <c r="B97" s="42"/>
      <c r="C97" s="42"/>
      <c r="D97" s="42"/>
      <c r="E97" s="42"/>
      <c r="F97" s="42"/>
      <c r="G97" s="42"/>
      <c r="H97" s="42"/>
      <c r="I97" s="42"/>
      <c r="J97" s="42"/>
      <c r="K97" s="42"/>
    </row>
    <row r="98" spans="1:11" ht="19.5" customHeight="1" thickBot="1" x14ac:dyDescent="0.35">
      <c r="A98" s="257" t="s">
        <v>196</v>
      </c>
      <c r="B98" s="257"/>
      <c r="C98" s="257"/>
      <c r="D98" s="257"/>
      <c r="E98" s="257"/>
      <c r="F98" s="257"/>
      <c r="G98" s="245"/>
      <c r="H98" s="245"/>
      <c r="I98" s="245"/>
      <c r="J98" s="245"/>
      <c r="K98" s="139"/>
    </row>
    <row r="112" spans="1:11" ht="111.75" customHeight="1" x14ac:dyDescent="0.25"/>
    <row r="113" spans="1:6" ht="15.75" customHeight="1" x14ac:dyDescent="0.25">
      <c r="A113" s="43" t="s">
        <v>36</v>
      </c>
      <c r="B113" s="29"/>
      <c r="C113" s="29"/>
      <c r="D113" s="29"/>
      <c r="E113" s="29"/>
      <c r="F113" s="29"/>
    </row>
    <row r="114" spans="1:6" ht="47.25" customHeight="1" x14ac:dyDescent="0.35">
      <c r="A114" s="120" t="s">
        <v>110</v>
      </c>
      <c r="B114" s="121"/>
      <c r="C114" s="121"/>
      <c r="D114" s="121"/>
      <c r="E114" s="121"/>
      <c r="F114" s="122"/>
    </row>
    <row r="115" spans="1:6" ht="15" customHeight="1" x14ac:dyDescent="0.25">
      <c r="A115" s="114"/>
      <c r="B115" s="119" t="s">
        <v>37</v>
      </c>
      <c r="C115" s="260" t="s">
        <v>38</v>
      </c>
      <c r="D115" s="260"/>
      <c r="E115" s="261" t="s">
        <v>39</v>
      </c>
      <c r="F115" s="262"/>
    </row>
    <row r="116" spans="1:6" x14ac:dyDescent="0.25">
      <c r="A116" s="123" t="str">
        <f>Prices!A6</f>
        <v>Corn ($/bu)</v>
      </c>
      <c r="B116" s="124">
        <f>Prices!B6</f>
        <v>3.42</v>
      </c>
      <c r="C116" s="249">
        <f>Prices!D6</f>
        <v>3.82</v>
      </c>
      <c r="D116" s="249"/>
      <c r="E116" s="249">
        <f>Prices!G6</f>
        <v>3.5</v>
      </c>
      <c r="F116" s="265"/>
    </row>
    <row r="117" spans="1:6" x14ac:dyDescent="0.25">
      <c r="A117" s="112" t="str">
        <f>Prices!A7</f>
        <v>Soybeans ($/bu)</v>
      </c>
      <c r="B117" s="44">
        <f>Prices!B7</f>
        <v>9.0500000000000007</v>
      </c>
      <c r="C117" s="251">
        <f>Prices!D7</f>
        <v>9.3800000000000008</v>
      </c>
      <c r="D117" s="251"/>
      <c r="E117" s="251">
        <f>Prices!G7</f>
        <v>9.4499999999999993</v>
      </c>
      <c r="F117" s="264"/>
    </row>
    <row r="118" spans="1:6" x14ac:dyDescent="0.25">
      <c r="A118" s="112" t="str">
        <f>Prices!A8</f>
        <v>Dairy Alfalfa ($/ton)</v>
      </c>
      <c r="B118" s="44">
        <f>Prices!B8</f>
        <v>165</v>
      </c>
      <c r="C118" s="251">
        <f>Prices!D8</f>
        <v>184.2982456140351</v>
      </c>
      <c r="D118" s="251"/>
      <c r="E118" s="251">
        <f>Prices!G8</f>
        <v>168.85964912280701</v>
      </c>
      <c r="F118" s="264"/>
    </row>
    <row r="119" spans="1:6" x14ac:dyDescent="0.25">
      <c r="A119" s="112" t="str">
        <f>Prices!A9</f>
        <v>16% 100 pounds of feed ($)</v>
      </c>
      <c r="B119" s="44">
        <f>Prices!B9</f>
        <v>7.7038095238095243</v>
      </c>
      <c r="C119" s="251">
        <f>Prices!D9</f>
        <v>8.5077092731829573</v>
      </c>
      <c r="D119" s="252"/>
      <c r="E119" s="251">
        <f>Prices!G9</f>
        <v>7.9091228070175443</v>
      </c>
      <c r="F119" s="253"/>
    </row>
    <row r="120" spans="1:6" x14ac:dyDescent="0.25">
      <c r="A120" s="112" t="str">
        <f>Prices!A10</f>
        <v>Milk:Feed Ratio</v>
      </c>
      <c r="B120" s="44">
        <f>Prices!B10</f>
        <v>1.9990110025961181</v>
      </c>
      <c r="C120" s="251">
        <f>Prices!D10</f>
        <v>1.998187697079105</v>
      </c>
      <c r="D120" s="252"/>
      <c r="E120" s="251">
        <f>Prices!G10</f>
        <v>2.3643582804667047</v>
      </c>
      <c r="F120" s="253"/>
    </row>
    <row r="121" spans="1:6" x14ac:dyDescent="0.25">
      <c r="A121" s="112" t="str">
        <f>Prices!A11</f>
        <v>Heifer Total Feed Cost ($)</v>
      </c>
      <c r="B121" s="44">
        <f>Prices!B11</f>
        <v>822</v>
      </c>
      <c r="C121" s="251">
        <f>Prices!D11</f>
        <v>875</v>
      </c>
      <c r="D121" s="251"/>
      <c r="E121" s="251">
        <f>Prices!G11</f>
        <v>851</v>
      </c>
      <c r="F121" s="264"/>
    </row>
    <row r="122" spans="1:6" x14ac:dyDescent="0.25">
      <c r="A122" s="112"/>
      <c r="B122" s="44"/>
      <c r="C122" s="251"/>
      <c r="D122" s="252"/>
      <c r="E122" s="251"/>
      <c r="F122" s="253"/>
    </row>
    <row r="123" spans="1:6" x14ac:dyDescent="0.25">
      <c r="A123" s="112" t="str">
        <f>Prices!A13</f>
        <v>Milk ($/cwt)</v>
      </c>
      <c r="B123" s="44">
        <f>Prices!B13</f>
        <v>15.4</v>
      </c>
      <c r="C123" s="251">
        <f>Prices!D13</f>
        <v>17</v>
      </c>
      <c r="D123" s="252"/>
      <c r="E123" s="251">
        <f>Prices!G13</f>
        <v>18.7</v>
      </c>
      <c r="F123" s="253"/>
    </row>
    <row r="124" spans="1:6" x14ac:dyDescent="0.25">
      <c r="A124" s="112" t="str">
        <f>Prices!A14</f>
        <v>Replacement Heifers (per hd)</v>
      </c>
      <c r="B124" s="44">
        <f>Prices!B14</f>
        <v>1200</v>
      </c>
      <c r="C124" s="251">
        <f>Prices!D14</f>
        <v>1525</v>
      </c>
      <c r="D124" s="252"/>
      <c r="E124" s="251">
        <f>Prices!G14</f>
        <v>1326</v>
      </c>
      <c r="F124" s="253"/>
    </row>
    <row r="125" spans="1:6" x14ac:dyDescent="0.25">
      <c r="A125" s="112" t="str">
        <f>Prices!A15</f>
        <v>Dairy Bull Calves (per hd)</v>
      </c>
      <c r="B125" s="44">
        <f>Prices!B15</f>
        <v>150</v>
      </c>
      <c r="C125" s="251">
        <f>Prices!D15</f>
        <v>174</v>
      </c>
      <c r="D125" s="252"/>
      <c r="E125" s="251">
        <f>Prices!G15</f>
        <v>119</v>
      </c>
      <c r="F125" s="253"/>
    </row>
    <row r="126" spans="1:6" x14ac:dyDescent="0.25">
      <c r="A126" s="112" t="str">
        <f>Prices!A16</f>
        <v>Dairy Heifer Calves (per hd)</v>
      </c>
      <c r="B126" s="44">
        <f>Prices!B16</f>
        <v>180</v>
      </c>
      <c r="C126" s="251">
        <f>Prices!D16</f>
        <v>254</v>
      </c>
      <c r="D126" s="252"/>
      <c r="E126" s="251">
        <f>Prices!G16</f>
        <v>227</v>
      </c>
      <c r="F126" s="253"/>
    </row>
    <row r="127" spans="1:6" ht="18" customHeight="1" x14ac:dyDescent="0.25">
      <c r="A127" s="112" t="str">
        <f>Prices!A17</f>
        <v>Dairy Cull cow (per cwt)</v>
      </c>
      <c r="B127" s="44">
        <f>Prices!B17</f>
        <v>67.5</v>
      </c>
      <c r="C127" s="251">
        <f>Prices!D17</f>
        <v>62</v>
      </c>
      <c r="D127" s="252"/>
      <c r="E127" s="251">
        <f>Prices!G17</f>
        <v>65</v>
      </c>
      <c r="F127" s="253"/>
    </row>
    <row r="128" spans="1:6" ht="15" customHeight="1" x14ac:dyDescent="0.25">
      <c r="A128" s="112" t="str">
        <f>Prices!A18</f>
        <v>Cull Replacement Heifer (per cwt)</v>
      </c>
      <c r="B128" s="44">
        <f>Prices!B18</f>
        <v>104.9</v>
      </c>
      <c r="C128" s="251">
        <f>Prices!D18</f>
        <v>96</v>
      </c>
      <c r="D128" s="252"/>
      <c r="E128" s="251">
        <f>Prices!G18</f>
        <v>101</v>
      </c>
      <c r="F128" s="253"/>
    </row>
    <row r="129" spans="1:11" ht="13.5" customHeight="1" x14ac:dyDescent="0.25">
      <c r="A129" s="113" t="str">
        <f>Prices!A19</f>
        <v>Cull Yearling Heifer (per cwt)</v>
      </c>
      <c r="B129" s="98">
        <f>Prices!B19</f>
        <v>133.94999999999999</v>
      </c>
      <c r="C129" s="254">
        <f>Prices!D19</f>
        <v>137</v>
      </c>
      <c r="D129" s="255"/>
      <c r="E129" s="254">
        <f>Prices!G19</f>
        <v>117</v>
      </c>
      <c r="F129" s="256"/>
    </row>
    <row r="134" spans="1:11" ht="15" customHeight="1" x14ac:dyDescent="0.25">
      <c r="G134" s="102"/>
    </row>
    <row r="135" spans="1:11" ht="45.75" customHeight="1" x14ac:dyDescent="0.25">
      <c r="B135" s="44"/>
      <c r="C135" s="140"/>
      <c r="D135" s="140"/>
      <c r="E135" s="140"/>
      <c r="F135" s="140"/>
      <c r="G135" s="102"/>
    </row>
    <row r="136" spans="1:11" ht="15" customHeight="1" x14ac:dyDescent="0.25">
      <c r="B136" s="44"/>
      <c r="C136" s="140"/>
      <c r="D136" s="140"/>
      <c r="E136" s="140"/>
      <c r="F136" s="140"/>
      <c r="G136" s="102"/>
    </row>
    <row r="137" spans="1:11" ht="15" customHeight="1" x14ac:dyDescent="0.25">
      <c r="B137" s="44"/>
      <c r="C137" s="140"/>
      <c r="D137" s="140"/>
      <c r="E137" s="140"/>
      <c r="F137" s="140"/>
      <c r="G137" s="102"/>
    </row>
    <row r="138" spans="1:11" x14ac:dyDescent="0.25">
      <c r="B138" s="44"/>
      <c r="C138" s="140"/>
      <c r="D138" s="141"/>
      <c r="E138" s="140"/>
      <c r="F138" s="141"/>
    </row>
    <row r="139" spans="1:11" ht="15.75" x14ac:dyDescent="0.25">
      <c r="A139" s="243" t="s">
        <v>34</v>
      </c>
      <c r="B139" s="243"/>
      <c r="C139" s="243"/>
      <c r="D139" s="243"/>
      <c r="E139" s="243"/>
      <c r="F139" s="243"/>
      <c r="G139" s="243"/>
      <c r="H139" s="243"/>
      <c r="I139" s="243"/>
      <c r="J139" s="243"/>
      <c r="K139" s="138"/>
    </row>
    <row r="140" spans="1:11" ht="15.75" x14ac:dyDescent="0.25">
      <c r="A140" s="40" t="s">
        <v>229</v>
      </c>
      <c r="B140" s="40"/>
      <c r="C140" s="40"/>
      <c r="D140" s="40"/>
      <c r="E140" s="40"/>
      <c r="F140" s="40"/>
      <c r="G140" s="40"/>
      <c r="H140" s="40"/>
      <c r="I140" s="40"/>
      <c r="J140" s="239" t="str">
        <f>J96</f>
        <v>Version- 7.5.2017</v>
      </c>
      <c r="K140" s="239"/>
    </row>
  </sheetData>
  <sheetProtection algorithmName="SHA-512" hashValue="+QR4oFXitrwJl+pMqBDYJo5ztlnZ1ZVdkl/lkydXhkXsigsr3XEHDtiMQV5gC3/TCCfyIdX1fqAeAVbKnIUeLw==" saltValue="XPr6s3WVDJiOD4Eeb9Exbg==" spinCount="100000" sheet="1" objects="1" scenarios="1"/>
  <mergeCells count="48">
    <mergeCell ref="M1:U1"/>
    <mergeCell ref="G4:J4"/>
    <mergeCell ref="I1:K1"/>
    <mergeCell ref="D1:H1"/>
    <mergeCell ref="A1:C1"/>
    <mergeCell ref="C115:D115"/>
    <mergeCell ref="E115:F115"/>
    <mergeCell ref="C4:D4"/>
    <mergeCell ref="A48:J48"/>
    <mergeCell ref="J49:K49"/>
    <mergeCell ref="G51:J51"/>
    <mergeCell ref="A98:F98"/>
    <mergeCell ref="A51:F51"/>
    <mergeCell ref="A95:J95"/>
    <mergeCell ref="J96:K96"/>
    <mergeCell ref="G98:J98"/>
    <mergeCell ref="C5:D5"/>
    <mergeCell ref="G5:J5"/>
    <mergeCell ref="C118:D118"/>
    <mergeCell ref="E118:F118"/>
    <mergeCell ref="C119:D119"/>
    <mergeCell ref="E119:F119"/>
    <mergeCell ref="C116:D116"/>
    <mergeCell ref="E116:F116"/>
    <mergeCell ref="C117:D117"/>
    <mergeCell ref="E117:F117"/>
    <mergeCell ref="C120:D120"/>
    <mergeCell ref="E120:F120"/>
    <mergeCell ref="C122:D122"/>
    <mergeCell ref="E122:F122"/>
    <mergeCell ref="C121:D121"/>
    <mergeCell ref="E121:F121"/>
    <mergeCell ref="C123:D123"/>
    <mergeCell ref="E123:F123"/>
    <mergeCell ref="C124:D124"/>
    <mergeCell ref="E124:F124"/>
    <mergeCell ref="C125:D125"/>
    <mergeCell ref="E125:F125"/>
    <mergeCell ref="C129:D129"/>
    <mergeCell ref="E129:F129"/>
    <mergeCell ref="A139:J139"/>
    <mergeCell ref="J140:K140"/>
    <mergeCell ref="C126:D126"/>
    <mergeCell ref="E126:F126"/>
    <mergeCell ref="C127:D127"/>
    <mergeCell ref="E127:F127"/>
    <mergeCell ref="C128:D128"/>
    <mergeCell ref="E128:F128"/>
  </mergeCells>
  <dataValidations count="1">
    <dataValidation type="list" showInputMessage="1" showErrorMessage="1" prompt="Select a price horizon to budget from" sqref="D1">
      <formula1>Prices</formula1>
    </dataValidation>
  </dataValidations>
  <printOptions horizontalCentered="1"/>
  <pageMargins left="0.25" right="0.25" top="0.75" bottom="0.5" header="0.3" footer="0"/>
  <pageSetup scale="87" orientation="portrait" horizontalDpi="4294967295" verticalDpi="4294967295" r:id="rId1"/>
  <headerFooter>
    <oddHeader>&amp;L&amp;"-,Bold"&amp;20FARM MANAGEMENT GUIDE</oddHeader>
  </headerFooter>
  <rowBreaks count="2" manualBreakCount="2">
    <brk id="49" max="10" man="1"/>
    <brk id="9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3" r:id="rId4" name="Button 3">
              <controlPr defaultSize="0" print="0" autoFill="0" autoPict="0" macro="[0]!PrintRRBudget">
                <anchor moveWithCells="1" sizeWithCells="1">
                  <from>
                    <xdr:col>12</xdr:col>
                    <xdr:colOff>314325</xdr:colOff>
                    <xdr:row>3</xdr:row>
                    <xdr:rowOff>161925</xdr:rowOff>
                  </from>
                  <to>
                    <xdr:col>16</xdr:col>
                    <xdr:colOff>314325</xdr:colOff>
                    <xdr:row>5</xdr:row>
                    <xdr:rowOff>152400</xdr:rowOff>
                  </to>
                </anchor>
              </controlPr>
            </control>
          </mc:Choice>
        </mc:AlternateContent>
        <mc:AlternateContent xmlns:mc="http://schemas.openxmlformats.org/markup-compatibility/2006">
          <mc:Choice Requires="x14">
            <control shapeId="10244" r:id="rId5" name="Button 4">
              <controlPr defaultSize="0" print="0" autoFill="0" autoPict="0" macro="[0]!PrintRRSheets">
                <anchor moveWithCells="1" sizeWithCells="1">
                  <from>
                    <xdr:col>12</xdr:col>
                    <xdr:colOff>285750</xdr:colOff>
                    <xdr:row>6</xdr:row>
                    <xdr:rowOff>190500</xdr:rowOff>
                  </from>
                  <to>
                    <xdr:col>16</xdr:col>
                    <xdr:colOff>314325</xdr:colOff>
                    <xdr:row>7</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249977111117893"/>
  </sheetPr>
  <dimension ref="A1:T131"/>
  <sheetViews>
    <sheetView zoomScaleNormal="100" workbookViewId="0">
      <selection activeCell="D1" sqref="D1:G1"/>
    </sheetView>
  </sheetViews>
  <sheetFormatPr defaultRowHeight="15" x14ac:dyDescent="0.25"/>
  <cols>
    <col min="1" max="1" width="31.85546875" bestFit="1" customWidth="1"/>
    <col min="2" max="2" width="15.42578125" customWidth="1"/>
    <col min="3" max="3" width="11.7109375" customWidth="1"/>
    <col min="4" max="4" width="5" customWidth="1"/>
    <col min="5" max="5" width="12.42578125" customWidth="1"/>
    <col min="6" max="6" width="8.28515625" customWidth="1"/>
    <col min="7" max="7" width="2.5703125" customWidth="1"/>
    <col min="8" max="8" width="8" customWidth="1"/>
    <col min="9" max="9" width="6.85546875" customWidth="1"/>
    <col min="10" max="10" width="16" customWidth="1"/>
    <col min="11" max="11" width="33.5703125" hidden="1" customWidth="1"/>
    <col min="13" max="13" width="12.5703125" bestFit="1" customWidth="1"/>
    <col min="15" max="15" width="10.5703125" bestFit="1" customWidth="1"/>
  </cols>
  <sheetData>
    <row r="1" spans="1:20" ht="18.75" customHeight="1" x14ac:dyDescent="0.25">
      <c r="A1" s="248" t="s">
        <v>198</v>
      </c>
      <c r="B1" s="248"/>
      <c r="C1" s="248"/>
      <c r="D1" s="247" t="s">
        <v>1</v>
      </c>
      <c r="E1" s="247"/>
      <c r="F1" s="247"/>
      <c r="G1" s="247"/>
      <c r="H1" s="246" t="str">
        <f>IF(D1=Prices!A1,Prices!B5,IF(D1=Prices!A2,Prices!D5,Prices!G5))</f>
        <v>(as of July 1st, 2017)</v>
      </c>
      <c r="I1" s="246"/>
      <c r="J1" s="246"/>
      <c r="K1" s="150" t="s">
        <v>208</v>
      </c>
      <c r="L1" s="240" t="s">
        <v>123</v>
      </c>
      <c r="M1" s="240"/>
      <c r="N1" s="240"/>
      <c r="O1" s="240"/>
      <c r="P1" s="240"/>
      <c r="Q1" s="240"/>
      <c r="R1" s="240"/>
      <c r="S1" s="240"/>
      <c r="T1" s="240"/>
    </row>
    <row r="2" spans="1:20" x14ac:dyDescent="0.25">
      <c r="A2" s="1"/>
      <c r="B2" s="2"/>
      <c r="C2" s="3"/>
      <c r="D2" s="4"/>
      <c r="E2" s="3"/>
      <c r="F2" s="3"/>
      <c r="G2" s="4"/>
      <c r="H2" s="3"/>
      <c r="I2" s="4"/>
      <c r="J2" s="3"/>
      <c r="K2" s="150"/>
    </row>
    <row r="3" spans="1:20" x14ac:dyDescent="0.25">
      <c r="A3" s="5" t="s">
        <v>2</v>
      </c>
      <c r="D3" s="148"/>
      <c r="G3" s="148"/>
      <c r="I3" s="148"/>
      <c r="K3" s="150"/>
    </row>
    <row r="4" spans="1:20" x14ac:dyDescent="0.25">
      <c r="A4" t="s">
        <v>101</v>
      </c>
      <c r="B4" s="170">
        <v>0.05</v>
      </c>
      <c r="C4" s="241" t="s">
        <v>103</v>
      </c>
      <c r="D4" s="241"/>
      <c r="E4" s="170">
        <v>0.09</v>
      </c>
      <c r="F4" s="9"/>
      <c r="G4" s="148"/>
      <c r="H4" s="60"/>
      <c r="I4" s="60"/>
      <c r="J4" s="59"/>
      <c r="K4" s="150"/>
    </row>
    <row r="5" spans="1:20" x14ac:dyDescent="0.25">
      <c r="A5" t="s">
        <v>102</v>
      </c>
      <c r="B5" s="170">
        <v>0.02</v>
      </c>
      <c r="C5" s="148"/>
      <c r="D5" s="148"/>
      <c r="E5" s="58"/>
      <c r="F5" s="9"/>
      <c r="G5" s="148"/>
      <c r="H5" s="60"/>
      <c r="I5" s="60"/>
      <c r="J5" s="59"/>
      <c r="K5" s="150"/>
    </row>
    <row r="6" spans="1:20" ht="22.5" customHeight="1" x14ac:dyDescent="0.25">
      <c r="D6" s="148"/>
      <c r="G6" s="148"/>
      <c r="I6" s="148"/>
      <c r="K6" s="150"/>
    </row>
    <row r="7" spans="1:20" x14ac:dyDescent="0.25">
      <c r="A7" s="119" t="s">
        <v>4</v>
      </c>
      <c r="B7" s="119" t="s">
        <v>0</v>
      </c>
      <c r="C7" s="119" t="s">
        <v>5</v>
      </c>
      <c r="D7" s="119"/>
      <c r="E7" s="119" t="s">
        <v>6</v>
      </c>
      <c r="F7" s="119" t="s">
        <v>5</v>
      </c>
      <c r="G7" s="119"/>
      <c r="H7" s="119" t="s">
        <v>105</v>
      </c>
      <c r="I7" s="119"/>
      <c r="J7" s="119" t="s">
        <v>108</v>
      </c>
      <c r="K7" s="150"/>
    </row>
    <row r="8" spans="1:20" x14ac:dyDescent="0.25">
      <c r="A8" t="s">
        <v>104</v>
      </c>
      <c r="B8" s="172">
        <f>IF(D1=Prices!A1,Prices!B14,IF(D1=Prices!A2,Prices!D14,IF(D1=Prices!A3,Prices!G14,"")))</f>
        <v>1200</v>
      </c>
      <c r="C8" s="11" t="s">
        <v>43</v>
      </c>
      <c r="D8" s="148" t="s">
        <v>9</v>
      </c>
      <c r="E8" s="99"/>
      <c r="F8" s="11"/>
      <c r="G8" s="148" t="s">
        <v>9</v>
      </c>
      <c r="H8" s="13">
        <f>1-B4-B5-E4</f>
        <v>0.84</v>
      </c>
      <c r="I8" s="14" t="s">
        <v>11</v>
      </c>
      <c r="J8" s="15">
        <f>B8*H8</f>
        <v>1008</v>
      </c>
      <c r="K8" s="150"/>
    </row>
    <row r="9" spans="1:20" x14ac:dyDescent="0.25">
      <c r="A9" t="s">
        <v>101</v>
      </c>
      <c r="B9" s="173">
        <f>IF(D1=Prices!A1,Prices!B18,IF(D1=Prices!A2,Prices!D18,IF(D1=Prices!A3,Prices!G18,"")))</f>
        <v>104.9</v>
      </c>
      <c r="C9" s="11" t="s">
        <v>8</v>
      </c>
      <c r="D9" s="148" t="s">
        <v>9</v>
      </c>
      <c r="E9" s="174">
        <v>1250</v>
      </c>
      <c r="F9" s="11" t="s">
        <v>10</v>
      </c>
      <c r="G9" s="148" t="s">
        <v>9</v>
      </c>
      <c r="H9" s="13">
        <f>B4</f>
        <v>0.05</v>
      </c>
      <c r="I9" s="14" t="s">
        <v>11</v>
      </c>
      <c r="J9" s="15">
        <f>(B9*(E9/100))*H9</f>
        <v>65.5625</v>
      </c>
      <c r="K9" s="150"/>
    </row>
    <row r="10" spans="1:20" x14ac:dyDescent="0.25">
      <c r="A10" t="s">
        <v>102</v>
      </c>
      <c r="B10" s="173">
        <f>IF(D1=Prices!A1,Prices!B19,IF(D1=Prices!A2,Prices!D19,IF(D1=Prices!A3,Prices!G19,"")))</f>
        <v>133.94999999999999</v>
      </c>
      <c r="C10" s="11" t="s">
        <v>8</v>
      </c>
      <c r="D10" s="148" t="s">
        <v>9</v>
      </c>
      <c r="E10" s="174">
        <v>725</v>
      </c>
      <c r="F10" s="11" t="s">
        <v>10</v>
      </c>
      <c r="G10" s="148" t="s">
        <v>9</v>
      </c>
      <c r="H10" s="13">
        <f>B5</f>
        <v>0.02</v>
      </c>
      <c r="I10" s="14" t="s">
        <v>11</v>
      </c>
      <c r="J10" s="15">
        <f>B10*(E10/100)*H10</f>
        <v>19.422750000000001</v>
      </c>
      <c r="K10" s="150"/>
      <c r="O10" s="15"/>
    </row>
    <row r="11" spans="1:20" x14ac:dyDescent="0.25">
      <c r="A11" t="s">
        <v>14</v>
      </c>
      <c r="B11" s="16"/>
      <c r="C11" s="11"/>
      <c r="D11" s="148"/>
      <c r="E11" s="18"/>
      <c r="F11" s="11"/>
      <c r="G11" s="148"/>
      <c r="H11" s="13"/>
      <c r="I11" s="14"/>
      <c r="J11" s="173">
        <v>40</v>
      </c>
      <c r="K11" s="150"/>
    </row>
    <row r="12" spans="1:20" x14ac:dyDescent="0.25">
      <c r="A12" t="s">
        <v>15</v>
      </c>
      <c r="B12" s="16"/>
      <c r="C12" s="11"/>
      <c r="D12" s="148"/>
      <c r="E12" s="18"/>
      <c r="F12" s="11"/>
      <c r="G12" s="148"/>
      <c r="H12" s="13"/>
      <c r="I12" s="14"/>
      <c r="J12" s="16"/>
      <c r="K12" s="150"/>
      <c r="M12" s="15"/>
    </row>
    <row r="13" spans="1:20" x14ac:dyDescent="0.25">
      <c r="A13" t="s">
        <v>107</v>
      </c>
      <c r="B13" s="173">
        <f>IF(D1=Prices!A1,Prices!B16,IF(D1=Prices!A2,Prices!D16,IF(D1=Prices!A3,Prices!G16,"")))</f>
        <v>180</v>
      </c>
      <c r="C13" s="11" t="s">
        <v>43</v>
      </c>
      <c r="D13" s="148"/>
      <c r="E13" s="17"/>
      <c r="F13" s="11"/>
      <c r="G13" s="148"/>
      <c r="H13" s="13"/>
      <c r="I13" s="14"/>
      <c r="J13" s="15">
        <f>-(B13)</f>
        <v>-180</v>
      </c>
      <c r="K13" s="150"/>
    </row>
    <row r="14" spans="1:20" x14ac:dyDescent="0.25">
      <c r="A14" s="19" t="s">
        <v>16</v>
      </c>
      <c r="B14" s="20"/>
      <c r="C14" s="20"/>
      <c r="D14" s="146"/>
      <c r="E14" s="20"/>
      <c r="F14" s="20"/>
      <c r="G14" s="146"/>
      <c r="H14" s="20"/>
      <c r="I14" s="146"/>
      <c r="J14" s="22">
        <f>SUM(J8:J13)</f>
        <v>952.98524999999995</v>
      </c>
      <c r="K14" s="150"/>
    </row>
    <row r="15" spans="1:20" x14ac:dyDescent="0.25">
      <c r="A15" s="23"/>
      <c r="D15" s="148"/>
      <c r="G15" s="148"/>
      <c r="I15" s="148"/>
      <c r="K15" s="150"/>
    </row>
    <row r="16" spans="1:20" x14ac:dyDescent="0.25">
      <c r="A16" s="119" t="s">
        <v>17</v>
      </c>
      <c r="B16" s="20"/>
      <c r="C16" s="20"/>
      <c r="D16" s="146"/>
      <c r="E16" s="20"/>
      <c r="F16" s="20"/>
      <c r="G16" s="146"/>
      <c r="H16" s="20"/>
      <c r="I16" s="146"/>
      <c r="J16" s="20"/>
      <c r="K16" s="150"/>
    </row>
    <row r="17" spans="1:17" x14ac:dyDescent="0.25">
      <c r="A17" s="116" t="s">
        <v>221</v>
      </c>
      <c r="B17" s="29"/>
      <c r="C17" s="29"/>
      <c r="D17" s="145"/>
      <c r="E17" s="29"/>
      <c r="F17" s="29"/>
      <c r="G17" s="145"/>
      <c r="H17" s="29"/>
      <c r="I17" s="145"/>
      <c r="J17" s="179">
        <f>IF(D1="Current Prices", Prices!B11,IF(D1="One Year Out Prices", Prices!D11, IF(D1="Five Years Out Prices", Prices!G11,"")))</f>
        <v>822</v>
      </c>
      <c r="K17" s="150"/>
      <c r="Q17" s="104"/>
    </row>
    <row r="18" spans="1:17" x14ac:dyDescent="0.25">
      <c r="A18" s="133" t="s">
        <v>157</v>
      </c>
      <c r="B18" s="175">
        <v>13.5</v>
      </c>
      <c r="C18" s="11" t="s">
        <v>18</v>
      </c>
      <c r="D18" s="148" t="s">
        <v>9</v>
      </c>
      <c r="E18" s="176">
        <v>11.5</v>
      </c>
      <c r="F18" s="11" t="s">
        <v>19</v>
      </c>
      <c r="G18" s="148"/>
      <c r="H18" s="13"/>
      <c r="I18" s="14"/>
      <c r="J18" s="24">
        <f>B18*E18</f>
        <v>155.25</v>
      </c>
      <c r="K18" s="150" t="s">
        <v>217</v>
      </c>
      <c r="Q18" s="104"/>
    </row>
    <row r="19" spans="1:17" x14ac:dyDescent="0.25">
      <c r="A19" s="133" t="s">
        <v>156</v>
      </c>
      <c r="B19" s="175">
        <v>25</v>
      </c>
      <c r="C19" s="11" t="s">
        <v>18</v>
      </c>
      <c r="D19" s="153" t="s">
        <v>9</v>
      </c>
      <c r="E19" s="176">
        <v>3.5</v>
      </c>
      <c r="F19" s="11" t="s">
        <v>19</v>
      </c>
      <c r="G19" s="153"/>
      <c r="H19" s="13"/>
      <c r="I19" s="14"/>
      <c r="J19" s="24">
        <f>B19*E19</f>
        <v>87.5</v>
      </c>
      <c r="K19" s="150" t="s">
        <v>186</v>
      </c>
      <c r="Q19" s="104"/>
    </row>
    <row r="20" spans="1:17" x14ac:dyDescent="0.25">
      <c r="A20" s="26" t="s">
        <v>191</v>
      </c>
      <c r="B20" s="16"/>
      <c r="C20" s="11"/>
      <c r="D20" s="148"/>
      <c r="E20" s="18"/>
      <c r="F20" s="11"/>
      <c r="G20" s="148"/>
      <c r="H20" s="13"/>
      <c r="I20" s="14"/>
      <c r="J20" s="173">
        <v>38</v>
      </c>
      <c r="K20" s="150" t="s">
        <v>192</v>
      </c>
      <c r="L20" s="15"/>
      <c r="Q20" s="104"/>
    </row>
    <row r="21" spans="1:17" x14ac:dyDescent="0.25">
      <c r="A21" t="s">
        <v>132</v>
      </c>
      <c r="B21" s="16"/>
      <c r="C21" s="11"/>
      <c r="D21" s="148"/>
      <c r="E21" s="18"/>
      <c r="F21" s="11"/>
      <c r="G21" s="148"/>
      <c r="H21" s="13"/>
      <c r="I21" s="14"/>
      <c r="J21" s="173">
        <v>44</v>
      </c>
      <c r="K21" s="150" t="s">
        <v>192</v>
      </c>
      <c r="Q21" s="104"/>
    </row>
    <row r="22" spans="1:17" x14ac:dyDescent="0.25">
      <c r="A22" t="s">
        <v>181</v>
      </c>
      <c r="B22" s="16"/>
      <c r="C22" s="11"/>
      <c r="D22" s="148"/>
      <c r="E22" s="18"/>
      <c r="F22" s="11"/>
      <c r="G22" s="148"/>
      <c r="H22" s="13"/>
      <c r="I22" s="14"/>
      <c r="J22" s="173">
        <v>35</v>
      </c>
      <c r="K22" s="150" t="s">
        <v>192</v>
      </c>
      <c r="Q22" s="104"/>
    </row>
    <row r="23" spans="1:17" x14ac:dyDescent="0.25">
      <c r="A23" s="26" t="s">
        <v>183</v>
      </c>
      <c r="B23" s="16"/>
      <c r="C23" s="11"/>
      <c r="D23" s="148"/>
      <c r="E23" s="18"/>
      <c r="F23" s="11"/>
      <c r="G23" s="148"/>
      <c r="H23" s="13"/>
      <c r="I23" s="14"/>
      <c r="J23" s="173">
        <v>25</v>
      </c>
      <c r="K23" s="150" t="s">
        <v>193</v>
      </c>
      <c r="Q23" s="104"/>
    </row>
    <row r="24" spans="1:17" x14ac:dyDescent="0.25">
      <c r="A24" t="s">
        <v>21</v>
      </c>
      <c r="B24" s="16"/>
      <c r="C24" s="11"/>
      <c r="D24" s="148"/>
      <c r="E24" s="18"/>
      <c r="F24" s="11"/>
      <c r="G24" s="148"/>
      <c r="H24" s="13"/>
      <c r="I24" s="14"/>
      <c r="J24" s="173">
        <v>64</v>
      </c>
      <c r="K24" s="150" t="s">
        <v>192</v>
      </c>
      <c r="Q24" s="104"/>
    </row>
    <row r="25" spans="1:17" x14ac:dyDescent="0.25">
      <c r="A25" t="s">
        <v>131</v>
      </c>
      <c r="B25" s="16"/>
      <c r="C25" s="11"/>
      <c r="D25" s="148"/>
      <c r="E25" s="18"/>
      <c r="F25" s="11"/>
      <c r="G25" s="148"/>
      <c r="H25" s="13"/>
      <c r="I25" s="14"/>
      <c r="J25" s="173">
        <v>49</v>
      </c>
      <c r="K25" s="150" t="s">
        <v>218</v>
      </c>
      <c r="Q25" s="104"/>
    </row>
    <row r="26" spans="1:17" x14ac:dyDescent="0.25">
      <c r="A26" t="s">
        <v>200</v>
      </c>
      <c r="B26" s="16"/>
      <c r="C26" s="11"/>
      <c r="D26" s="153"/>
      <c r="E26" s="18"/>
      <c r="F26" s="11"/>
      <c r="G26" s="153"/>
      <c r="H26" s="13"/>
      <c r="I26" s="14"/>
      <c r="J26" s="173">
        <v>20</v>
      </c>
      <c r="K26" s="150" t="s">
        <v>220</v>
      </c>
      <c r="Q26" s="104"/>
    </row>
    <row r="27" spans="1:17" x14ac:dyDescent="0.25">
      <c r="A27" t="s">
        <v>207</v>
      </c>
      <c r="B27" s="16"/>
      <c r="C27" s="11"/>
      <c r="D27" s="153"/>
      <c r="E27" s="18"/>
      <c r="F27" s="11"/>
      <c r="G27" s="153"/>
      <c r="H27" s="13"/>
      <c r="I27" s="14"/>
      <c r="J27" s="173">
        <v>42</v>
      </c>
      <c r="K27" s="150" t="s">
        <v>193</v>
      </c>
      <c r="Q27" s="104"/>
    </row>
    <row r="28" spans="1:17" x14ac:dyDescent="0.25">
      <c r="A28" t="s">
        <v>219</v>
      </c>
      <c r="B28" s="16"/>
      <c r="C28" s="11"/>
      <c r="D28" s="148"/>
      <c r="E28" s="18"/>
      <c r="F28" s="11"/>
      <c r="G28" s="148"/>
      <c r="H28" s="13"/>
      <c r="I28" s="14"/>
      <c r="J28" s="173">
        <v>43</v>
      </c>
      <c r="K28" s="150" t="s">
        <v>193</v>
      </c>
      <c r="Q28" s="104"/>
    </row>
    <row r="29" spans="1:17" x14ac:dyDescent="0.25">
      <c r="A29" s="23" t="s">
        <v>23</v>
      </c>
      <c r="D29" s="148"/>
      <c r="G29" s="148"/>
      <c r="I29" s="148"/>
      <c r="J29" s="28">
        <f>SUM(J17:J28)</f>
        <v>1424.75</v>
      </c>
      <c r="K29" s="150"/>
      <c r="Q29" s="104"/>
    </row>
    <row r="30" spans="1:17" x14ac:dyDescent="0.25">
      <c r="D30" s="148"/>
      <c r="G30" s="148"/>
      <c r="I30" s="148"/>
      <c r="K30" s="150"/>
      <c r="Q30" s="104"/>
    </row>
    <row r="31" spans="1:17" x14ac:dyDescent="0.25">
      <c r="A31" s="119" t="s">
        <v>24</v>
      </c>
      <c r="B31" s="20"/>
      <c r="C31" s="20"/>
      <c r="D31" s="146"/>
      <c r="E31" s="20"/>
      <c r="F31" s="20"/>
      <c r="G31" s="146"/>
      <c r="H31" s="20"/>
      <c r="I31" s="146"/>
      <c r="J31" s="20"/>
      <c r="K31" s="150"/>
      <c r="Q31" s="104"/>
    </row>
    <row r="32" spans="1:17" x14ac:dyDescent="0.25">
      <c r="A32" t="s">
        <v>25</v>
      </c>
      <c r="D32" s="148"/>
      <c r="G32" s="148"/>
      <c r="I32" s="148"/>
      <c r="J32" s="173">
        <v>66</v>
      </c>
      <c r="K32" s="150" t="s">
        <v>194</v>
      </c>
      <c r="Q32" s="104"/>
    </row>
    <row r="33" spans="1:17" x14ac:dyDescent="0.25">
      <c r="A33" s="3" t="s">
        <v>166</v>
      </c>
      <c r="D33" s="148"/>
      <c r="G33" s="148"/>
      <c r="I33" s="148"/>
      <c r="J33" s="173">
        <v>19</v>
      </c>
      <c r="K33" s="150" t="s">
        <v>194</v>
      </c>
      <c r="Q33" s="104"/>
    </row>
    <row r="34" spans="1:17" x14ac:dyDescent="0.25">
      <c r="A34" s="29" t="s">
        <v>28</v>
      </c>
      <c r="B34" s="29"/>
      <c r="C34" s="29"/>
      <c r="D34" s="145"/>
      <c r="E34" s="29"/>
      <c r="F34" s="29"/>
      <c r="G34" s="145"/>
      <c r="H34" s="29"/>
      <c r="I34" s="145"/>
      <c r="J34" s="177">
        <v>84</v>
      </c>
      <c r="K34" s="150" t="s">
        <v>224</v>
      </c>
      <c r="L34" s="15"/>
      <c r="Q34" s="104"/>
    </row>
    <row r="35" spans="1:17" x14ac:dyDescent="0.25">
      <c r="A35" s="31" t="s">
        <v>29</v>
      </c>
      <c r="B35" s="29"/>
      <c r="C35" s="29"/>
      <c r="D35" s="145"/>
      <c r="E35" s="29"/>
      <c r="F35" s="29"/>
      <c r="G35" s="145"/>
      <c r="H35" s="29"/>
      <c r="I35" s="145"/>
      <c r="J35" s="177">
        <v>45</v>
      </c>
      <c r="K35" s="150" t="s">
        <v>195</v>
      </c>
      <c r="Q35" s="104"/>
    </row>
    <row r="36" spans="1:17" x14ac:dyDescent="0.25">
      <c r="A36" s="32" t="s">
        <v>30</v>
      </c>
      <c r="B36" s="33"/>
      <c r="C36" s="33"/>
      <c r="D36" s="147"/>
      <c r="E36" s="33"/>
      <c r="F36" s="33"/>
      <c r="G36" s="147"/>
      <c r="H36" s="33"/>
      <c r="I36" s="147"/>
      <c r="J36" s="35">
        <f>SUM(J32:J35)</f>
        <v>214</v>
      </c>
      <c r="K36" s="150"/>
      <c r="Q36" s="104"/>
    </row>
    <row r="37" spans="1:17" x14ac:dyDescent="0.25">
      <c r="B37" s="16"/>
      <c r="C37" s="11"/>
      <c r="D37" s="148"/>
      <c r="E37" s="18"/>
      <c r="F37" s="11"/>
      <c r="G37" s="148"/>
      <c r="H37" s="13"/>
      <c r="I37" s="14"/>
      <c r="J37" s="16"/>
      <c r="K37" s="150"/>
      <c r="M37" s="15"/>
      <c r="Q37" s="104"/>
    </row>
    <row r="38" spans="1:17" x14ac:dyDescent="0.25">
      <c r="A38" s="119" t="s">
        <v>31</v>
      </c>
      <c r="B38" s="20"/>
      <c r="C38" s="20"/>
      <c r="D38" s="146"/>
      <c r="E38" s="20"/>
      <c r="F38" s="20"/>
      <c r="G38" s="146"/>
      <c r="H38" s="20"/>
      <c r="I38" s="146"/>
      <c r="J38" s="22">
        <f>J29+J36</f>
        <v>1638.75</v>
      </c>
      <c r="K38" s="150"/>
      <c r="M38" s="15"/>
      <c r="Q38" s="104"/>
    </row>
    <row r="39" spans="1:17" x14ac:dyDescent="0.25">
      <c r="D39" s="148"/>
      <c r="G39" s="148"/>
      <c r="I39" s="148"/>
      <c r="K39" s="150"/>
      <c r="M39" s="15"/>
    </row>
    <row r="40" spans="1:17" x14ac:dyDescent="0.25">
      <c r="A40" t="s">
        <v>32</v>
      </c>
      <c r="D40" s="148"/>
      <c r="G40" s="148"/>
      <c r="I40" s="148"/>
      <c r="J40" s="15">
        <f>J14-J29</f>
        <v>-471.76475000000005</v>
      </c>
    </row>
    <row r="41" spans="1:17" ht="15.75" thickBot="1" x14ac:dyDescent="0.3">
      <c r="A41" s="36" t="s">
        <v>33</v>
      </c>
      <c r="D41" s="148"/>
      <c r="G41" s="148"/>
      <c r="I41" s="148"/>
      <c r="J41" s="37">
        <f>J14-J38</f>
        <v>-685.76475000000005</v>
      </c>
    </row>
    <row r="42" spans="1:17" ht="137.25" customHeight="1" thickTop="1" x14ac:dyDescent="0.25"/>
    <row r="43" spans="1:17" x14ac:dyDescent="0.25">
      <c r="A43" s="243" t="s">
        <v>34</v>
      </c>
      <c r="B43" s="244"/>
      <c r="C43" s="244"/>
      <c r="D43" s="244"/>
      <c r="E43" s="244"/>
      <c r="F43" s="244"/>
      <c r="G43" s="244"/>
      <c r="H43" s="244"/>
      <c r="I43" s="244"/>
      <c r="J43" s="244"/>
    </row>
    <row r="44" spans="1:17" ht="15.75" x14ac:dyDescent="0.25">
      <c r="A44" s="40" t="s">
        <v>111</v>
      </c>
      <c r="B44" s="40"/>
      <c r="C44" s="40"/>
      <c r="D44" s="40"/>
      <c r="E44" s="40"/>
      <c r="F44" s="40"/>
      <c r="G44" s="40"/>
      <c r="H44" s="40"/>
      <c r="I44" s="239" t="str">
        <f>Introduction!L8</f>
        <v>Version- 7.5.2017</v>
      </c>
      <c r="J44" s="239"/>
    </row>
    <row r="45" spans="1:17" x14ac:dyDescent="0.25">
      <c r="B45" s="41"/>
    </row>
    <row r="46" spans="1:17" ht="19.5" thickBot="1" x14ac:dyDescent="0.35">
      <c r="A46" s="257" t="s">
        <v>198</v>
      </c>
      <c r="B46" s="266"/>
      <c r="C46" s="267"/>
      <c r="D46" s="267"/>
      <c r="E46" s="267"/>
      <c r="F46" s="267"/>
      <c r="G46" s="245"/>
      <c r="H46" s="245"/>
      <c r="I46" s="245"/>
      <c r="J46" s="245"/>
    </row>
    <row r="89" spans="1:10" ht="135" customHeight="1" x14ac:dyDescent="0.25">
      <c r="A89" s="29"/>
      <c r="B89" s="29"/>
      <c r="C89" s="29"/>
      <c r="D89" s="29"/>
      <c r="E89" s="29"/>
      <c r="F89" s="29"/>
      <c r="G89" s="29"/>
      <c r="H89" s="29"/>
      <c r="I89" s="29"/>
      <c r="J89" s="29"/>
    </row>
    <row r="90" spans="1:10" x14ac:dyDescent="0.25">
      <c r="A90" s="243" t="s">
        <v>34</v>
      </c>
      <c r="B90" s="244"/>
      <c r="C90" s="244"/>
      <c r="D90" s="244"/>
      <c r="E90" s="244"/>
      <c r="F90" s="244"/>
      <c r="G90" s="244"/>
      <c r="H90" s="244"/>
      <c r="I90" s="244"/>
      <c r="J90" s="244"/>
    </row>
    <row r="91" spans="1:10" ht="15.75" x14ac:dyDescent="0.25">
      <c r="A91" s="40" t="s">
        <v>112</v>
      </c>
      <c r="B91" s="40"/>
      <c r="C91" s="40"/>
      <c r="D91" s="40"/>
      <c r="E91" s="40"/>
      <c r="F91" s="40"/>
      <c r="G91" s="40"/>
      <c r="H91" s="40"/>
      <c r="I91" s="239" t="str">
        <f>I44</f>
        <v>Version- 7.5.2017</v>
      </c>
      <c r="J91" s="239"/>
    </row>
    <row r="92" spans="1:10" ht="15.75" x14ac:dyDescent="0.25">
      <c r="A92" s="42"/>
      <c r="B92" s="42"/>
      <c r="C92" s="42"/>
      <c r="D92" s="42"/>
      <c r="E92" s="42"/>
      <c r="F92" s="42"/>
      <c r="G92" s="42"/>
      <c r="H92" s="42"/>
      <c r="I92" s="42"/>
      <c r="J92" s="42"/>
    </row>
    <row r="93" spans="1:10" ht="19.5" thickBot="1" x14ac:dyDescent="0.35">
      <c r="A93" s="257" t="s">
        <v>198</v>
      </c>
      <c r="B93" s="266"/>
      <c r="C93" s="267"/>
      <c r="D93" s="267"/>
      <c r="E93" s="267"/>
      <c r="F93" s="267"/>
      <c r="G93" s="245"/>
      <c r="H93" s="245"/>
      <c r="I93" s="245"/>
      <c r="J93" s="245"/>
    </row>
    <row r="94" spans="1:10" ht="15.75" x14ac:dyDescent="0.25">
      <c r="A94" s="43" t="s">
        <v>36</v>
      </c>
    </row>
    <row r="96" spans="1:10" ht="21.75" thickBot="1" x14ac:dyDescent="0.4">
      <c r="A96" s="268" t="s">
        <v>110</v>
      </c>
      <c r="B96" s="269"/>
      <c r="C96" s="269"/>
      <c r="D96" s="269"/>
      <c r="E96" s="269"/>
      <c r="F96" s="270"/>
    </row>
    <row r="97" spans="1:9" ht="21" customHeight="1" x14ac:dyDescent="0.25">
      <c r="A97" s="111"/>
      <c r="B97" s="149" t="s">
        <v>37</v>
      </c>
      <c r="C97" s="271" t="s">
        <v>38</v>
      </c>
      <c r="D97" s="271"/>
      <c r="E97" s="272" t="s">
        <v>39</v>
      </c>
      <c r="F97" s="273"/>
      <c r="G97" s="101"/>
      <c r="H97" s="101"/>
      <c r="I97" s="101"/>
    </row>
    <row r="98" spans="1:9" ht="14.25" customHeight="1" x14ac:dyDescent="0.25">
      <c r="A98" s="123" t="str">
        <f>Prices!A6</f>
        <v>Corn ($/bu)</v>
      </c>
      <c r="B98" s="124">
        <f>Prices!B6</f>
        <v>3.42</v>
      </c>
      <c r="C98" s="249">
        <f>Prices!D6</f>
        <v>3.82</v>
      </c>
      <c r="D98" s="250"/>
      <c r="E98" s="249">
        <f>Prices!G6</f>
        <v>3.5</v>
      </c>
      <c r="F98" s="258"/>
      <c r="G98" s="148"/>
      <c r="H98" s="148"/>
    </row>
    <row r="99" spans="1:9" ht="14.25" customHeight="1" x14ac:dyDescent="0.25">
      <c r="A99" s="112" t="str">
        <f>Prices!A7</f>
        <v>Soybeans ($/bu)</v>
      </c>
      <c r="B99" s="44">
        <f>Prices!B7</f>
        <v>9.0500000000000007</v>
      </c>
      <c r="C99" s="251">
        <f>Prices!D7</f>
        <v>9.3800000000000008</v>
      </c>
      <c r="D99" s="252"/>
      <c r="E99" s="251">
        <f>Prices!G7</f>
        <v>9.4499999999999993</v>
      </c>
      <c r="F99" s="253"/>
    </row>
    <row r="100" spans="1:9" ht="14.25" customHeight="1" x14ac:dyDescent="0.25">
      <c r="A100" s="112" t="str">
        <f>Prices!A8</f>
        <v>Dairy Alfalfa ($/ton)</v>
      </c>
      <c r="B100" s="44">
        <f>Prices!B8</f>
        <v>165</v>
      </c>
      <c r="C100" s="251">
        <f>Prices!D8</f>
        <v>184.2982456140351</v>
      </c>
      <c r="D100" s="252"/>
      <c r="E100" s="251">
        <f>Prices!G8</f>
        <v>168.85964912280701</v>
      </c>
      <c r="F100" s="253"/>
    </row>
    <row r="101" spans="1:9" ht="14.25" customHeight="1" x14ac:dyDescent="0.25">
      <c r="A101" s="112" t="str">
        <f>Prices!A9</f>
        <v>16% 100 pounds of feed ($)</v>
      </c>
      <c r="B101" s="44">
        <f>Prices!B9</f>
        <v>7.7038095238095243</v>
      </c>
      <c r="C101" s="251">
        <f>Prices!D9</f>
        <v>8.5077092731829573</v>
      </c>
      <c r="D101" s="252"/>
      <c r="E101" s="251">
        <f>Prices!G9</f>
        <v>7.9091228070175443</v>
      </c>
      <c r="F101" s="253"/>
    </row>
    <row r="102" spans="1:9" ht="14.25" customHeight="1" x14ac:dyDescent="0.25">
      <c r="A102" s="112" t="str">
        <f>Prices!A10</f>
        <v>Milk:Feed Ratio</v>
      </c>
      <c r="B102" s="44">
        <f>Prices!B10</f>
        <v>1.9990110025961181</v>
      </c>
      <c r="C102" s="251">
        <f>Prices!D10</f>
        <v>1.998187697079105</v>
      </c>
      <c r="D102" s="252"/>
      <c r="E102" s="251">
        <f>Prices!G10</f>
        <v>2.3643582804667047</v>
      </c>
      <c r="F102" s="253"/>
    </row>
    <row r="103" spans="1:9" ht="14.25" customHeight="1" x14ac:dyDescent="0.25">
      <c r="A103" s="112" t="str">
        <f>Prices!A11</f>
        <v>Heifer Total Feed Cost ($)</v>
      </c>
      <c r="B103" s="44">
        <f>Prices!B11</f>
        <v>822</v>
      </c>
      <c r="C103" s="251">
        <f>Prices!D11</f>
        <v>875</v>
      </c>
      <c r="D103" s="252"/>
      <c r="E103" s="251">
        <f>Prices!G11</f>
        <v>851</v>
      </c>
      <c r="F103" s="253"/>
    </row>
    <row r="104" spans="1:9" ht="14.25" customHeight="1" x14ac:dyDescent="0.25">
      <c r="A104" s="112"/>
      <c r="B104" s="44"/>
      <c r="C104" s="251"/>
      <c r="D104" s="252"/>
      <c r="E104" s="251"/>
      <c r="F104" s="253"/>
    </row>
    <row r="105" spans="1:9" ht="14.25" customHeight="1" x14ac:dyDescent="0.25">
      <c r="A105" s="112" t="str">
        <f>Prices!A13</f>
        <v>Milk ($/cwt)</v>
      </c>
      <c r="B105" s="44">
        <f>Prices!B13</f>
        <v>15.4</v>
      </c>
      <c r="C105" s="251">
        <f>Prices!D13</f>
        <v>17</v>
      </c>
      <c r="D105" s="252"/>
      <c r="E105" s="251">
        <f>Prices!G13</f>
        <v>18.7</v>
      </c>
      <c r="F105" s="253"/>
    </row>
    <row r="106" spans="1:9" ht="14.25" customHeight="1" x14ac:dyDescent="0.25">
      <c r="A106" s="112" t="str">
        <f>Prices!A14</f>
        <v>Replacement Heifers (per hd)</v>
      </c>
      <c r="B106" s="44">
        <f>Prices!B14</f>
        <v>1200</v>
      </c>
      <c r="C106" s="251">
        <f>Prices!D14</f>
        <v>1525</v>
      </c>
      <c r="D106" s="252"/>
      <c r="E106" s="251">
        <f>Prices!G14</f>
        <v>1326</v>
      </c>
      <c r="F106" s="253"/>
    </row>
    <row r="107" spans="1:9" ht="14.25" customHeight="1" x14ac:dyDescent="0.25">
      <c r="A107" s="112" t="str">
        <f>Prices!A15</f>
        <v>Dairy Bull Calves (per hd)</v>
      </c>
      <c r="B107" s="44">
        <f>Prices!B15</f>
        <v>150</v>
      </c>
      <c r="C107" s="251">
        <f>Prices!D15</f>
        <v>174</v>
      </c>
      <c r="D107" s="252"/>
      <c r="E107" s="251">
        <f>Prices!G15</f>
        <v>119</v>
      </c>
      <c r="F107" s="253"/>
    </row>
    <row r="108" spans="1:9" ht="14.25" customHeight="1" x14ac:dyDescent="0.25">
      <c r="A108" s="112" t="str">
        <f>Prices!A16</f>
        <v>Dairy Heifer Calves (per hd)</v>
      </c>
      <c r="B108" s="44">
        <f>Prices!B16</f>
        <v>180</v>
      </c>
      <c r="C108" s="251">
        <f>Prices!D16</f>
        <v>254</v>
      </c>
      <c r="D108" s="252"/>
      <c r="E108" s="251">
        <f>Prices!G16</f>
        <v>227</v>
      </c>
      <c r="F108" s="253"/>
    </row>
    <row r="109" spans="1:9" ht="14.25" customHeight="1" x14ac:dyDescent="0.25">
      <c r="A109" s="112" t="str">
        <f>Prices!A17</f>
        <v>Dairy Cull cow (per cwt)</v>
      </c>
      <c r="B109" s="44">
        <f>Prices!B17</f>
        <v>67.5</v>
      </c>
      <c r="C109" s="251">
        <f>Prices!D17</f>
        <v>62</v>
      </c>
      <c r="D109" s="252"/>
      <c r="E109" s="251">
        <f>Prices!G17</f>
        <v>65</v>
      </c>
      <c r="F109" s="253"/>
    </row>
    <row r="110" spans="1:9" ht="14.25" customHeight="1" x14ac:dyDescent="0.25">
      <c r="A110" s="112" t="str">
        <f>Prices!A18</f>
        <v>Cull Replacement Heifer (per cwt)</v>
      </c>
      <c r="B110" s="44">
        <f>Prices!B18</f>
        <v>104.9</v>
      </c>
      <c r="C110" s="251">
        <f>Prices!D18</f>
        <v>96</v>
      </c>
      <c r="D110" s="252"/>
      <c r="E110" s="251">
        <f>Prices!G18</f>
        <v>101</v>
      </c>
      <c r="F110" s="253"/>
    </row>
    <row r="111" spans="1:9" ht="14.25" customHeight="1" x14ac:dyDescent="0.25">
      <c r="A111" s="113" t="str">
        <f>Prices!A19</f>
        <v>Cull Yearling Heifer (per cwt)</v>
      </c>
      <c r="B111" s="98">
        <f>Prices!B19</f>
        <v>133.94999999999999</v>
      </c>
      <c r="C111" s="254">
        <f>Prices!D19</f>
        <v>137</v>
      </c>
      <c r="D111" s="255"/>
      <c r="E111" s="254">
        <f>Prices!G19</f>
        <v>117</v>
      </c>
      <c r="F111" s="256"/>
    </row>
    <row r="122" spans="2:6" ht="231" customHeight="1" x14ac:dyDescent="0.25"/>
    <row r="124" spans="2:6" x14ac:dyDescent="0.25">
      <c r="B124" s="44"/>
      <c r="C124" s="144"/>
      <c r="D124" s="145"/>
      <c r="E124" s="144"/>
      <c r="F124" s="145"/>
    </row>
    <row r="125" spans="2:6" x14ac:dyDescent="0.25">
      <c r="B125" s="44"/>
      <c r="C125" s="144"/>
      <c r="D125" s="145"/>
      <c r="E125" s="144"/>
      <c r="F125" s="145"/>
    </row>
    <row r="126" spans="2:6" x14ac:dyDescent="0.25">
      <c r="B126" s="44"/>
      <c r="C126" s="144"/>
      <c r="D126" s="145"/>
      <c r="E126" s="144"/>
      <c r="F126" s="145"/>
    </row>
    <row r="127" spans="2:6" x14ac:dyDescent="0.25">
      <c r="B127" s="44"/>
      <c r="C127" s="144"/>
      <c r="D127" s="145"/>
      <c r="E127" s="144"/>
      <c r="F127" s="145"/>
    </row>
    <row r="128" spans="2:6" x14ac:dyDescent="0.25">
      <c r="B128" s="44"/>
      <c r="C128" s="144"/>
      <c r="D128" s="145"/>
      <c r="E128" s="144"/>
      <c r="F128" s="145"/>
    </row>
    <row r="129" spans="1:10" x14ac:dyDescent="0.25">
      <c r="B129" s="44"/>
      <c r="C129" s="144"/>
      <c r="D129" s="145"/>
      <c r="E129" s="144"/>
      <c r="F129" s="145"/>
    </row>
    <row r="130" spans="1:10" x14ac:dyDescent="0.25">
      <c r="A130" s="243" t="s">
        <v>34</v>
      </c>
      <c r="B130" s="244"/>
      <c r="C130" s="244"/>
      <c r="D130" s="244"/>
      <c r="E130" s="244"/>
      <c r="F130" s="244"/>
      <c r="G130" s="244"/>
      <c r="H130" s="244"/>
      <c r="I130" s="244"/>
      <c r="J130" s="244"/>
    </row>
    <row r="131" spans="1:10" ht="15.75" x14ac:dyDescent="0.25">
      <c r="A131" s="40" t="s">
        <v>35</v>
      </c>
      <c r="B131" s="40"/>
      <c r="C131" s="40"/>
      <c r="D131" s="40"/>
      <c r="E131" s="40"/>
      <c r="F131" s="40"/>
      <c r="G131" s="40"/>
      <c r="H131" s="40"/>
      <c r="I131" s="239" t="str">
        <f>I91</f>
        <v>Version- 7.5.2017</v>
      </c>
      <c r="J131" s="239"/>
    </row>
  </sheetData>
  <sheetProtection algorithmName="SHA-512" hashValue="6WH/FlhG5qVyOiAefXEJJGuIzwZ7O15WGVdmMjwanmBV6iDLx+x+Y40QUws5LI9xfqgGKVBFy+/vtgwlyk+44g==" saltValue="QrLurYslsO/d8WYdUwtjHw==" spinCount="100000" sheet="1" objects="1" scenarios="1"/>
  <mergeCells count="48">
    <mergeCell ref="C106:D106"/>
    <mergeCell ref="E106:F106"/>
    <mergeCell ref="I131:J131"/>
    <mergeCell ref="C107:D107"/>
    <mergeCell ref="E107:F107"/>
    <mergeCell ref="C108:D108"/>
    <mergeCell ref="E108:F108"/>
    <mergeCell ref="C109:D109"/>
    <mergeCell ref="E109:F109"/>
    <mergeCell ref="C110:D110"/>
    <mergeCell ref="E110:F110"/>
    <mergeCell ref="C111:D111"/>
    <mergeCell ref="E111:F111"/>
    <mergeCell ref="A130:J130"/>
    <mergeCell ref="C103:D103"/>
    <mergeCell ref="E103:F103"/>
    <mergeCell ref="C104:D104"/>
    <mergeCell ref="E104:F104"/>
    <mergeCell ref="C105:D105"/>
    <mergeCell ref="E105:F105"/>
    <mergeCell ref="C100:D100"/>
    <mergeCell ref="E100:F100"/>
    <mergeCell ref="C101:D101"/>
    <mergeCell ref="E101:F101"/>
    <mergeCell ref="C102:D102"/>
    <mergeCell ref="E102:F102"/>
    <mergeCell ref="C99:D99"/>
    <mergeCell ref="E99:F99"/>
    <mergeCell ref="A46:B46"/>
    <mergeCell ref="C46:F46"/>
    <mergeCell ref="G46:J46"/>
    <mergeCell ref="A90:J90"/>
    <mergeCell ref="I91:J91"/>
    <mergeCell ref="A93:B93"/>
    <mergeCell ref="C93:F93"/>
    <mergeCell ref="G93:J93"/>
    <mergeCell ref="A96:F96"/>
    <mergeCell ref="C97:D97"/>
    <mergeCell ref="E97:F97"/>
    <mergeCell ref="C98:D98"/>
    <mergeCell ref="E98:F98"/>
    <mergeCell ref="I44:J44"/>
    <mergeCell ref="L1:T1"/>
    <mergeCell ref="C4:D4"/>
    <mergeCell ref="H1:J1"/>
    <mergeCell ref="D1:G1"/>
    <mergeCell ref="A1:C1"/>
    <mergeCell ref="A43:J43"/>
  </mergeCells>
  <dataValidations count="1">
    <dataValidation type="list" showInputMessage="1" showErrorMessage="1" prompt="Select a price horizon to budget from" sqref="D1">
      <formula1>Prices</formula1>
    </dataValidation>
  </dataValidations>
  <pageMargins left="0.25" right="0.25" top="0.75" bottom="0.5" header="0.3" footer="0.3"/>
  <pageSetup scale="86" orientation="portrait" horizontalDpi="4294967295" verticalDpi="4294967295" r:id="rId1"/>
  <headerFooter>
    <oddHeader>&amp;L&amp;"-,Bold"&amp;20FARM MANAGEMENT GUIDE</oddHeader>
  </headerFooter>
  <rowBreaks count="1" manualBreakCount="1">
    <brk id="4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4" r:id="rId4" name="Button 4">
              <controlPr defaultSize="0" print="0" autoFill="0" autoPict="0" macro="[0]!PrintHFBudget">
                <anchor moveWithCells="1" sizeWithCells="1">
                  <from>
                    <xdr:col>12</xdr:col>
                    <xdr:colOff>0</xdr:colOff>
                    <xdr:row>2</xdr:row>
                    <xdr:rowOff>76200</xdr:rowOff>
                  </from>
                  <to>
                    <xdr:col>15</xdr:col>
                    <xdr:colOff>514350</xdr:colOff>
                    <xdr:row>4</xdr:row>
                    <xdr:rowOff>28575</xdr:rowOff>
                  </to>
                </anchor>
              </controlPr>
            </control>
          </mc:Choice>
        </mc:AlternateContent>
        <mc:AlternateContent xmlns:mc="http://schemas.openxmlformats.org/markup-compatibility/2006">
          <mc:Choice Requires="x14">
            <control shapeId="15365" r:id="rId5" name="Button 5">
              <controlPr defaultSize="0" print="0" autoFill="0" autoPict="0" macro="[0]!PrintHFSheets">
                <anchor moveWithCells="1" sizeWithCells="1">
                  <from>
                    <xdr:col>11</xdr:col>
                    <xdr:colOff>600075</xdr:colOff>
                    <xdr:row>5</xdr:row>
                    <xdr:rowOff>38100</xdr:rowOff>
                  </from>
                  <to>
                    <xdr:col>15</xdr:col>
                    <xdr:colOff>514350</xdr:colOff>
                    <xdr:row>6</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8"/>
  <sheetViews>
    <sheetView workbookViewId="0">
      <selection activeCell="K32" sqref="K32"/>
    </sheetView>
  </sheetViews>
  <sheetFormatPr defaultRowHeight="15" x14ac:dyDescent="0.25"/>
  <cols>
    <col min="1" max="1" width="40.42578125" customWidth="1"/>
    <col min="11" max="11" width="12.42578125" bestFit="1" customWidth="1"/>
  </cols>
  <sheetData>
    <row r="1" spans="1:15" x14ac:dyDescent="0.25">
      <c r="B1" t="s">
        <v>127</v>
      </c>
      <c r="E1" t="s">
        <v>83</v>
      </c>
      <c r="I1" t="s">
        <v>113</v>
      </c>
    </row>
    <row r="2" spans="1:15" x14ac:dyDescent="0.25">
      <c r="A2" s="127" t="s">
        <v>128</v>
      </c>
      <c r="B2" s="127">
        <v>96</v>
      </c>
      <c r="C2" s="127"/>
      <c r="D2" s="127"/>
      <c r="E2" s="127"/>
      <c r="F2" s="127"/>
      <c r="G2" s="127"/>
      <c r="H2" s="127"/>
      <c r="I2" s="127"/>
    </row>
    <row r="3" spans="1:15" x14ac:dyDescent="0.25">
      <c r="A3" s="127" t="s">
        <v>129</v>
      </c>
      <c r="B3" s="127">
        <v>63.42</v>
      </c>
      <c r="C3" s="127"/>
      <c r="D3" s="127"/>
      <c r="E3" s="127"/>
      <c r="F3" s="127"/>
      <c r="G3" s="127"/>
      <c r="H3" s="127"/>
      <c r="I3" s="127"/>
    </row>
    <row r="4" spans="1:15" x14ac:dyDescent="0.25">
      <c r="A4" s="127" t="s">
        <v>130</v>
      </c>
      <c r="B4" s="127">
        <v>5.31</v>
      </c>
      <c r="C4" s="127"/>
      <c r="D4" s="127"/>
      <c r="E4" s="127"/>
      <c r="F4" s="127"/>
      <c r="G4" s="127"/>
      <c r="H4" s="127"/>
      <c r="I4" s="127"/>
    </row>
    <row r="5" spans="1:15" x14ac:dyDescent="0.25">
      <c r="A5" s="128" t="s">
        <v>147</v>
      </c>
      <c r="B5" s="127">
        <f>SUM(B2:B4)</f>
        <v>164.73000000000002</v>
      </c>
      <c r="C5" s="127"/>
      <c r="D5" s="127"/>
      <c r="E5" s="127">
        <v>1046.1099999999999</v>
      </c>
      <c r="F5" s="127"/>
      <c r="G5" s="127"/>
      <c r="H5" s="127"/>
      <c r="I5" s="127">
        <f>B5+E5</f>
        <v>1210.8399999999999</v>
      </c>
    </row>
    <row r="6" spans="1:15" x14ac:dyDescent="0.25">
      <c r="A6" s="127" t="s">
        <v>131</v>
      </c>
      <c r="B6" s="127">
        <v>8.6300000000000008</v>
      </c>
      <c r="C6" s="127"/>
      <c r="D6" s="127"/>
      <c r="E6" s="127">
        <v>91.57</v>
      </c>
      <c r="F6" s="127"/>
      <c r="G6" s="127"/>
      <c r="H6" s="127"/>
      <c r="I6" s="127">
        <f t="shared" ref="I6:I38" si="0">B6+E6</f>
        <v>100.19999999999999</v>
      </c>
    </row>
    <row r="7" spans="1:15" x14ac:dyDescent="0.25">
      <c r="A7" s="127" t="s">
        <v>132</v>
      </c>
      <c r="B7" s="127">
        <v>21.86</v>
      </c>
      <c r="C7" s="127"/>
      <c r="D7" s="127"/>
      <c r="E7" s="127">
        <v>50.33</v>
      </c>
      <c r="F7" s="127"/>
      <c r="G7" s="127"/>
      <c r="H7" s="127"/>
      <c r="I7" s="127">
        <f t="shared" si="0"/>
        <v>72.19</v>
      </c>
    </row>
    <row r="8" spans="1:15" x14ac:dyDescent="0.25">
      <c r="A8" s="127" t="s">
        <v>148</v>
      </c>
      <c r="B8" s="127"/>
      <c r="C8" s="127"/>
      <c r="D8" s="127"/>
      <c r="E8" s="127">
        <v>38.54</v>
      </c>
      <c r="F8" s="127"/>
      <c r="G8" s="127"/>
      <c r="H8" s="127"/>
      <c r="I8" s="127">
        <f t="shared" si="0"/>
        <v>38.54</v>
      </c>
    </row>
    <row r="9" spans="1:15" x14ac:dyDescent="0.25">
      <c r="A9" s="127" t="s">
        <v>149</v>
      </c>
      <c r="B9" s="127"/>
      <c r="C9" s="127"/>
      <c r="D9" s="127"/>
      <c r="E9" s="127">
        <v>31.83</v>
      </c>
      <c r="F9" s="127"/>
      <c r="G9" s="127"/>
      <c r="H9" s="127"/>
      <c r="I9" s="127">
        <f t="shared" si="0"/>
        <v>31.83</v>
      </c>
    </row>
    <row r="10" spans="1:15" x14ac:dyDescent="0.25">
      <c r="A10" s="127" t="s">
        <v>103</v>
      </c>
      <c r="B10" s="127">
        <v>7.02</v>
      </c>
      <c r="C10" s="127"/>
      <c r="D10" s="127"/>
      <c r="E10" s="127">
        <v>5.27</v>
      </c>
      <c r="F10" s="127"/>
      <c r="G10" s="127"/>
      <c r="H10" s="127"/>
      <c r="I10" s="127">
        <f t="shared" si="0"/>
        <v>12.29</v>
      </c>
    </row>
    <row r="11" spans="1:15" x14ac:dyDescent="0.25">
      <c r="A11" s="127" t="s">
        <v>133</v>
      </c>
      <c r="B11" s="127">
        <v>3.94</v>
      </c>
      <c r="C11" s="127"/>
      <c r="D11" s="127"/>
      <c r="E11" s="127">
        <v>56.63</v>
      </c>
      <c r="F11" s="127"/>
      <c r="G11" s="127"/>
      <c r="H11" s="127"/>
      <c r="I11" s="127">
        <f t="shared" si="0"/>
        <v>60.57</v>
      </c>
    </row>
    <row r="12" spans="1:15" x14ac:dyDescent="0.25">
      <c r="A12" s="127" t="s">
        <v>160</v>
      </c>
      <c r="B12" s="127">
        <v>122.33</v>
      </c>
      <c r="C12" s="127"/>
      <c r="D12" s="127"/>
      <c r="E12" s="127">
        <v>307.61</v>
      </c>
      <c r="F12" s="127"/>
      <c r="G12" s="127"/>
      <c r="H12" s="127"/>
      <c r="I12" s="127">
        <f>B12+E12</f>
        <v>429.94</v>
      </c>
      <c r="J12" t="s">
        <v>162</v>
      </c>
      <c r="M12">
        <f>I12/13</f>
        <v>33.072307692307689</v>
      </c>
      <c r="N12" t="s">
        <v>19</v>
      </c>
      <c r="O12" t="s">
        <v>167</v>
      </c>
    </row>
    <row r="13" spans="1:15" x14ac:dyDescent="0.25">
      <c r="A13" s="127" t="s">
        <v>161</v>
      </c>
      <c r="B13" s="127">
        <v>11.97</v>
      </c>
      <c r="C13" s="127"/>
      <c r="D13" s="127"/>
      <c r="E13" s="127">
        <v>25.66</v>
      </c>
      <c r="F13" s="127"/>
      <c r="G13" s="127"/>
      <c r="H13" s="127"/>
      <c r="I13" s="127">
        <f t="shared" si="0"/>
        <v>37.630000000000003</v>
      </c>
      <c r="J13" t="s">
        <v>163</v>
      </c>
      <c r="M13">
        <f>I13/22</f>
        <v>1.7104545454545457</v>
      </c>
    </row>
    <row r="14" spans="1:15" x14ac:dyDescent="0.25">
      <c r="A14" s="127"/>
      <c r="B14" s="127"/>
      <c r="C14" s="127"/>
      <c r="D14" s="127"/>
      <c r="E14" s="127"/>
      <c r="F14" s="127"/>
      <c r="G14" s="127"/>
      <c r="H14" s="127"/>
      <c r="I14" s="127"/>
    </row>
    <row r="15" spans="1:15" x14ac:dyDescent="0.25">
      <c r="A15" s="127" t="s">
        <v>134</v>
      </c>
      <c r="B15" s="127">
        <f>SUM(B5:B13)</f>
        <v>340.48000000000008</v>
      </c>
      <c r="C15" s="127"/>
      <c r="D15" s="127"/>
      <c r="E15" s="127">
        <f>SUM(E2:E13)</f>
        <v>1653.55</v>
      </c>
      <c r="F15" s="127"/>
      <c r="G15" s="127"/>
      <c r="H15" s="127"/>
      <c r="I15" s="127">
        <f t="shared" si="0"/>
        <v>1994.03</v>
      </c>
    </row>
    <row r="16" spans="1:15" x14ac:dyDescent="0.25">
      <c r="A16" s="127"/>
      <c r="B16" s="127"/>
      <c r="C16" s="127"/>
      <c r="D16" s="127"/>
      <c r="E16" s="127"/>
      <c r="F16" s="127"/>
      <c r="G16" s="127"/>
      <c r="H16" s="127"/>
      <c r="I16" s="127"/>
    </row>
    <row r="17" spans="1:15" x14ac:dyDescent="0.25">
      <c r="A17" s="127" t="s">
        <v>150</v>
      </c>
      <c r="B17" s="127">
        <v>16.32</v>
      </c>
      <c r="C17" s="127"/>
      <c r="D17" s="127"/>
      <c r="E17" s="127">
        <v>149.04</v>
      </c>
      <c r="F17" s="127"/>
      <c r="G17" s="127"/>
      <c r="H17" s="127"/>
      <c r="I17" s="127">
        <f t="shared" si="0"/>
        <v>165.35999999999999</v>
      </c>
    </row>
    <row r="18" spans="1:15" x14ac:dyDescent="0.25">
      <c r="A18" s="127" t="s">
        <v>151</v>
      </c>
      <c r="B18" s="127">
        <v>6.87</v>
      </c>
      <c r="C18" s="127"/>
      <c r="D18" s="127"/>
      <c r="E18" s="127">
        <v>41.05</v>
      </c>
      <c r="F18" s="127"/>
      <c r="G18" s="127"/>
      <c r="H18" s="127"/>
      <c r="I18" s="127">
        <f t="shared" si="0"/>
        <v>47.919999999999995</v>
      </c>
      <c r="J18" t="s">
        <v>164</v>
      </c>
      <c r="K18" t="s">
        <v>25</v>
      </c>
      <c r="L18" t="s">
        <v>133</v>
      </c>
      <c r="M18" t="s">
        <v>165</v>
      </c>
      <c r="N18" t="s">
        <v>26</v>
      </c>
      <c r="O18" t="s">
        <v>166</v>
      </c>
    </row>
    <row r="19" spans="1:15" x14ac:dyDescent="0.25">
      <c r="A19" s="127" t="s">
        <v>152</v>
      </c>
      <c r="B19" s="127"/>
      <c r="C19" s="127"/>
      <c r="D19" s="127"/>
      <c r="E19" s="127">
        <v>19.71</v>
      </c>
      <c r="F19" s="127"/>
      <c r="G19" s="127"/>
      <c r="H19" s="127"/>
      <c r="I19" s="127">
        <f t="shared" si="0"/>
        <v>19.71</v>
      </c>
      <c r="J19">
        <f>SUM(I17:I19)</f>
        <v>232.98999999999998</v>
      </c>
      <c r="K19">
        <f>0.07/0.15*$J$19</f>
        <v>108.72866666666667</v>
      </c>
      <c r="L19">
        <f>0.05/0.15*$J$19</f>
        <v>77.663333333333341</v>
      </c>
      <c r="M19">
        <f>0.02/0.15*$J$19</f>
        <v>31.065333333333331</v>
      </c>
      <c r="N19">
        <f>0.005/0.15*$J$19</f>
        <v>7.7663333333333329</v>
      </c>
      <c r="O19">
        <f>0.005/0.15*$J$19</f>
        <v>7.7663333333333329</v>
      </c>
    </row>
    <row r="20" spans="1:15" x14ac:dyDescent="0.25">
      <c r="A20" s="127"/>
      <c r="B20" s="127"/>
      <c r="C20" s="127"/>
      <c r="D20" s="127"/>
      <c r="E20" s="127"/>
      <c r="F20" s="127"/>
      <c r="G20" s="127"/>
      <c r="H20" s="127"/>
      <c r="I20" s="127"/>
    </row>
    <row r="21" spans="1:15" x14ac:dyDescent="0.25">
      <c r="A21" s="127" t="s">
        <v>134</v>
      </c>
      <c r="B21" s="127">
        <f>SUM(B17:B18)</f>
        <v>23.19</v>
      </c>
      <c r="C21" s="127"/>
      <c r="D21" s="127"/>
      <c r="E21" s="127">
        <f>SUM(E17:E19)</f>
        <v>209.79999999999998</v>
      </c>
      <c r="F21" s="127"/>
      <c r="G21" s="127"/>
      <c r="H21" s="127"/>
      <c r="I21" s="127">
        <f t="shared" si="0"/>
        <v>232.98999999999998</v>
      </c>
    </row>
    <row r="22" spans="1:15" x14ac:dyDescent="0.25">
      <c r="A22" s="127"/>
      <c r="B22" s="127"/>
      <c r="C22" s="127"/>
      <c r="D22" s="127"/>
      <c r="E22" s="127"/>
      <c r="F22" s="127"/>
      <c r="G22" s="127"/>
      <c r="H22" s="127"/>
      <c r="I22" s="127"/>
    </row>
    <row r="23" spans="1:15" x14ac:dyDescent="0.25">
      <c r="A23" s="127" t="s">
        <v>135</v>
      </c>
      <c r="B23" s="127">
        <f>B15+B21</f>
        <v>363.67000000000007</v>
      </c>
      <c r="C23" s="127"/>
      <c r="D23" s="127"/>
      <c r="E23" s="127">
        <f>E15+E21</f>
        <v>1863.35</v>
      </c>
      <c r="F23" s="127"/>
      <c r="G23" s="127"/>
      <c r="H23" s="127"/>
      <c r="I23" s="127">
        <f t="shared" si="0"/>
        <v>2227.02</v>
      </c>
    </row>
    <row r="24" spans="1:15" x14ac:dyDescent="0.25">
      <c r="A24" s="127" t="s">
        <v>136</v>
      </c>
      <c r="B24" s="127">
        <v>73.86</v>
      </c>
      <c r="C24" s="127"/>
      <c r="D24" s="127"/>
      <c r="E24" s="127">
        <v>146.27000000000001</v>
      </c>
      <c r="F24" s="127"/>
      <c r="G24" s="127"/>
      <c r="H24" s="127"/>
      <c r="I24" s="127">
        <f t="shared" si="0"/>
        <v>220.13</v>
      </c>
    </row>
    <row r="25" spans="1:15" x14ac:dyDescent="0.25">
      <c r="A25" s="127" t="s">
        <v>137</v>
      </c>
      <c r="B25" s="127">
        <f>B23+B24</f>
        <v>437.53000000000009</v>
      </c>
      <c r="C25" s="127"/>
      <c r="D25" s="127"/>
      <c r="E25" s="127">
        <f>E23+E24</f>
        <v>2009.62</v>
      </c>
      <c r="F25" s="127"/>
      <c r="G25" s="127"/>
      <c r="H25" s="127"/>
      <c r="I25" s="127">
        <f t="shared" si="0"/>
        <v>2447.15</v>
      </c>
    </row>
    <row r="31" spans="1:15" x14ac:dyDescent="0.25">
      <c r="A31" s="127" t="s">
        <v>138</v>
      </c>
      <c r="B31" s="127">
        <v>164.74</v>
      </c>
      <c r="C31" s="129">
        <v>0.44209999999999999</v>
      </c>
      <c r="D31" s="127"/>
      <c r="E31" s="127">
        <v>1046.1099999999999</v>
      </c>
      <c r="F31" s="129">
        <v>0.57179999999999997</v>
      </c>
      <c r="G31" s="127"/>
      <c r="H31" s="127"/>
      <c r="I31" s="127">
        <f t="shared" si="0"/>
        <v>1210.8499999999999</v>
      </c>
    </row>
    <row r="32" spans="1:15" x14ac:dyDescent="0.25">
      <c r="A32" s="127" t="s">
        <v>139</v>
      </c>
      <c r="B32" s="127">
        <v>41.34</v>
      </c>
      <c r="C32" s="129">
        <v>0.12659999999999999</v>
      </c>
      <c r="D32" s="127"/>
      <c r="E32" s="127">
        <v>274.17</v>
      </c>
      <c r="F32" s="129">
        <v>0.151</v>
      </c>
      <c r="G32" s="127"/>
      <c r="H32" s="127"/>
      <c r="I32" s="127">
        <f t="shared" si="0"/>
        <v>315.51</v>
      </c>
    </row>
    <row r="33" spans="1:11" x14ac:dyDescent="0.25">
      <c r="A33" s="127" t="s">
        <v>140</v>
      </c>
      <c r="B33" s="127">
        <v>134.30000000000001</v>
      </c>
      <c r="C33" s="129">
        <v>0.36630000000000001</v>
      </c>
      <c r="D33" s="127"/>
      <c r="E33" s="127">
        <v>333.11</v>
      </c>
      <c r="F33" s="129">
        <v>0.1661</v>
      </c>
      <c r="G33" s="127"/>
      <c r="H33" s="127"/>
      <c r="I33" s="127">
        <f t="shared" si="0"/>
        <v>467.41</v>
      </c>
    </row>
    <row r="34" spans="1:11" x14ac:dyDescent="0.25">
      <c r="A34" s="127" t="s">
        <v>141</v>
      </c>
      <c r="B34" s="127">
        <v>23.2</v>
      </c>
      <c r="C34" s="129">
        <v>6.5000000000000002E-2</v>
      </c>
      <c r="D34" s="127"/>
      <c r="E34" s="127">
        <v>209.8</v>
      </c>
      <c r="F34" s="129">
        <v>0.1111</v>
      </c>
      <c r="G34" s="127"/>
      <c r="H34" s="127"/>
      <c r="I34" s="127">
        <f t="shared" si="0"/>
        <v>233</v>
      </c>
    </row>
    <row r="35" spans="1:11" x14ac:dyDescent="0.25">
      <c r="A35" s="127"/>
      <c r="B35" s="127"/>
      <c r="C35" s="127"/>
      <c r="D35" s="127"/>
      <c r="E35" s="127"/>
      <c r="F35" s="127"/>
      <c r="G35" s="127"/>
      <c r="H35" s="127"/>
      <c r="I35" s="127"/>
    </row>
    <row r="36" spans="1:11" x14ac:dyDescent="0.25">
      <c r="A36" s="127" t="s">
        <v>142</v>
      </c>
      <c r="B36" s="127">
        <v>9.9499999999999993</v>
      </c>
      <c r="C36" s="127" t="s">
        <v>143</v>
      </c>
      <c r="D36" s="127"/>
      <c r="E36" s="127">
        <v>12.78</v>
      </c>
      <c r="F36" s="127" t="s">
        <v>153</v>
      </c>
      <c r="G36" s="127"/>
      <c r="H36" s="127"/>
      <c r="I36" s="127">
        <f t="shared" si="0"/>
        <v>22.729999999999997</v>
      </c>
      <c r="K36" t="s">
        <v>168</v>
      </c>
    </row>
    <row r="37" spans="1:11" x14ac:dyDescent="0.25">
      <c r="A37" s="127" t="s">
        <v>144</v>
      </c>
      <c r="B37" s="127">
        <v>7.61</v>
      </c>
      <c r="C37" s="127" t="s">
        <v>145</v>
      </c>
      <c r="D37" s="127"/>
      <c r="E37" s="127">
        <v>23.38</v>
      </c>
      <c r="F37" s="127" t="s">
        <v>154</v>
      </c>
      <c r="G37" s="127"/>
      <c r="H37" s="127"/>
      <c r="I37" s="127">
        <f>(B37/4)+E37</f>
        <v>25.282499999999999</v>
      </c>
      <c r="J37" t="s">
        <v>154</v>
      </c>
    </row>
    <row r="38" spans="1:11" x14ac:dyDescent="0.25">
      <c r="A38" s="127" t="s">
        <v>146</v>
      </c>
      <c r="B38" s="127">
        <v>68.599999999999994</v>
      </c>
      <c r="C38" s="127" t="s">
        <v>49</v>
      </c>
      <c r="D38" s="127"/>
      <c r="E38" s="127">
        <v>611.48</v>
      </c>
      <c r="F38" s="127" t="s">
        <v>155</v>
      </c>
      <c r="G38" s="127"/>
      <c r="H38" s="127"/>
      <c r="I38" s="127">
        <f t="shared" si="0"/>
        <v>680.08</v>
      </c>
      <c r="J38" t="s">
        <v>155</v>
      </c>
      <c r="K38">
        <f>I38/30.4</f>
        <v>22.371052631578952</v>
      </c>
    </row>
  </sheetData>
  <pageMargins left="0.25" right="0.25" top="0.75" bottom="0.75" header="0.3" footer="0.3"/>
  <pageSetup scale="77"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28"/>
  <sheetViews>
    <sheetView workbookViewId="0">
      <selection activeCell="C5" sqref="C5"/>
    </sheetView>
  </sheetViews>
  <sheetFormatPr defaultRowHeight="15" x14ac:dyDescent="0.25"/>
  <cols>
    <col min="1" max="1" width="34.7109375" bestFit="1" customWidth="1"/>
    <col min="2" max="2" width="12.85546875" customWidth="1"/>
    <col min="3" max="3" width="13.42578125" bestFit="1" customWidth="1"/>
    <col min="4" max="4" width="20.85546875" bestFit="1" customWidth="1"/>
    <col min="5" max="5" width="22.85546875" bestFit="1" customWidth="1"/>
  </cols>
  <sheetData>
    <row r="1" spans="1:9" x14ac:dyDescent="0.25">
      <c r="B1" s="50" t="s">
        <v>117</v>
      </c>
      <c r="D1" s="131" t="s">
        <v>175</v>
      </c>
      <c r="F1" s="135"/>
      <c r="G1" s="135"/>
      <c r="H1" s="241" t="s">
        <v>176</v>
      </c>
      <c r="I1" s="241"/>
    </row>
    <row r="2" spans="1:9" x14ac:dyDescent="0.25">
      <c r="B2" s="50" t="s">
        <v>113</v>
      </c>
      <c r="C2" s="3" t="s">
        <v>114</v>
      </c>
      <c r="D2" s="131" t="s">
        <v>115</v>
      </c>
      <c r="E2" t="s">
        <v>169</v>
      </c>
      <c r="F2" s="135" t="s">
        <v>158</v>
      </c>
      <c r="G2" s="135" t="s">
        <v>159</v>
      </c>
    </row>
    <row r="3" spans="1:9" x14ac:dyDescent="0.25">
      <c r="A3" t="s">
        <v>120</v>
      </c>
      <c r="B3" s="50">
        <f>3180.29-B4</f>
        <v>3080.29</v>
      </c>
      <c r="C3" s="134">
        <f>B3-E3</f>
        <v>2532.79</v>
      </c>
      <c r="D3" s="132">
        <v>1095</v>
      </c>
      <c r="E3" s="108">
        <f>D3/2</f>
        <v>547.5</v>
      </c>
      <c r="F3" s="136">
        <f>C3/B3</f>
        <v>0.82225699528291163</v>
      </c>
      <c r="G3" s="136">
        <f>1-F3</f>
        <v>0.17774300471708837</v>
      </c>
    </row>
    <row r="4" spans="1:9" x14ac:dyDescent="0.25">
      <c r="A4" s="130" t="s">
        <v>131</v>
      </c>
      <c r="B4" s="50">
        <v>100</v>
      </c>
      <c r="C4" s="134">
        <f>B4-E4</f>
        <v>50</v>
      </c>
      <c r="D4" s="132">
        <v>100</v>
      </c>
      <c r="E4" s="108">
        <f>D4/2</f>
        <v>50</v>
      </c>
      <c r="F4" s="136">
        <f>C4/B4</f>
        <v>0.5</v>
      </c>
      <c r="G4" s="136">
        <f>1-F4</f>
        <v>0.5</v>
      </c>
    </row>
    <row r="5" spans="1:9" x14ac:dyDescent="0.25">
      <c r="A5" t="s">
        <v>157</v>
      </c>
      <c r="B5" s="50">
        <v>333.35</v>
      </c>
      <c r="C5" s="134"/>
      <c r="D5" s="132">
        <v>260</v>
      </c>
      <c r="E5" s="108">
        <f t="shared" ref="E5:E20" si="0">D5/2</f>
        <v>130</v>
      </c>
      <c r="F5" s="136"/>
      <c r="G5" s="136"/>
    </row>
    <row r="6" spans="1:9" x14ac:dyDescent="0.25">
      <c r="A6" t="s">
        <v>156</v>
      </c>
      <c r="B6" s="50">
        <v>498.14</v>
      </c>
      <c r="C6" s="134"/>
      <c r="D6" s="132">
        <v>44</v>
      </c>
      <c r="E6" s="108">
        <f t="shared" si="0"/>
        <v>22</v>
      </c>
      <c r="F6" s="136"/>
      <c r="G6" s="136"/>
    </row>
    <row r="7" spans="1:9" x14ac:dyDescent="0.25">
      <c r="A7" s="126" t="s">
        <v>170</v>
      </c>
      <c r="B7" s="50">
        <f>B5+B6</f>
        <v>831.49</v>
      </c>
      <c r="C7" s="134">
        <f>B7-E7</f>
        <v>679.49</v>
      </c>
      <c r="D7" s="132">
        <f>D5+D6</f>
        <v>304</v>
      </c>
      <c r="E7" s="108">
        <f>E5+E6</f>
        <v>152</v>
      </c>
      <c r="F7" s="136">
        <f t="shared" ref="F7:F20" si="1">C7/B7</f>
        <v>0.81719563674848761</v>
      </c>
      <c r="G7" s="136">
        <f t="shared" ref="G7:G20" si="2">1-F7</f>
        <v>0.18280436325151239</v>
      </c>
    </row>
    <row r="8" spans="1:9" x14ac:dyDescent="0.25">
      <c r="A8" s="26" t="s">
        <v>116</v>
      </c>
      <c r="B8" s="50">
        <v>87.87</v>
      </c>
      <c r="C8" s="134">
        <f>B8-E8</f>
        <v>68.37</v>
      </c>
      <c r="D8" s="132">
        <v>39</v>
      </c>
      <c r="E8" s="108">
        <f t="shared" si="0"/>
        <v>19.5</v>
      </c>
      <c r="F8" s="136">
        <f t="shared" si="1"/>
        <v>0.77808125640150227</v>
      </c>
      <c r="G8" s="136">
        <f t="shared" si="2"/>
        <v>0.22191874359849773</v>
      </c>
    </row>
    <row r="9" spans="1:9" x14ac:dyDescent="0.25">
      <c r="A9" s="26" t="s">
        <v>118</v>
      </c>
      <c r="B9" s="50">
        <v>366.46</v>
      </c>
      <c r="C9" s="134"/>
      <c r="D9" s="132"/>
      <c r="E9" s="108"/>
      <c r="F9" s="136"/>
      <c r="G9" s="136"/>
    </row>
    <row r="10" spans="1:9" x14ac:dyDescent="0.25">
      <c r="A10" s="126" t="s">
        <v>100</v>
      </c>
      <c r="B10" s="103">
        <f>'Cow Milking-Purchased Replmts'!J22</f>
        <v>109</v>
      </c>
      <c r="C10" s="134">
        <f t="shared" ref="C10:C20" si="3">B10-E10</f>
        <v>109</v>
      </c>
      <c r="D10" s="132"/>
      <c r="E10" s="108"/>
      <c r="F10" s="136">
        <f t="shared" si="1"/>
        <v>1</v>
      </c>
      <c r="G10" s="136">
        <f t="shared" si="2"/>
        <v>0</v>
      </c>
    </row>
    <row r="11" spans="1:9" x14ac:dyDescent="0.25">
      <c r="A11" s="126" t="s">
        <v>122</v>
      </c>
      <c r="B11" s="103">
        <f>B9-B10</f>
        <v>257.45999999999998</v>
      </c>
      <c r="C11" s="134"/>
      <c r="D11" s="132"/>
      <c r="E11" s="108"/>
      <c r="F11" s="136"/>
      <c r="G11" s="136"/>
    </row>
    <row r="12" spans="1:9" x14ac:dyDescent="0.25">
      <c r="A12" t="s">
        <v>20</v>
      </c>
      <c r="B12" s="50">
        <v>124.6</v>
      </c>
      <c r="C12" s="134">
        <f t="shared" si="3"/>
        <v>88.6</v>
      </c>
      <c r="D12" s="132">
        <v>72</v>
      </c>
      <c r="E12" s="108">
        <f t="shared" si="0"/>
        <v>36</v>
      </c>
      <c r="F12" s="136">
        <f t="shared" si="1"/>
        <v>0.7110754414125201</v>
      </c>
      <c r="G12" s="136">
        <f t="shared" si="2"/>
        <v>0.2889245585874799</v>
      </c>
    </row>
    <row r="13" spans="1:9" x14ac:dyDescent="0.25">
      <c r="A13" t="s">
        <v>106</v>
      </c>
      <c r="B13" s="50">
        <f>121.51+120.94</f>
        <v>242.45</v>
      </c>
      <c r="C13" s="134">
        <f>B13-E13</f>
        <v>226.45</v>
      </c>
      <c r="D13" s="132">
        <v>32</v>
      </c>
      <c r="E13" s="108">
        <f t="shared" si="0"/>
        <v>16</v>
      </c>
      <c r="F13" s="136">
        <f t="shared" si="1"/>
        <v>0.934007011755001</v>
      </c>
      <c r="G13" s="136">
        <f t="shared" si="2"/>
        <v>6.5992988244998996E-2</v>
      </c>
    </row>
    <row r="14" spans="1:9" x14ac:dyDescent="0.25">
      <c r="A14" t="s">
        <v>21</v>
      </c>
      <c r="B14" s="50">
        <f>204.87+22.92+3.84</f>
        <v>231.63000000000002</v>
      </c>
      <c r="C14" s="134">
        <f t="shared" si="3"/>
        <v>216.13000000000002</v>
      </c>
      <c r="D14" s="132">
        <v>31</v>
      </c>
      <c r="E14" s="108">
        <f t="shared" si="0"/>
        <v>15.5</v>
      </c>
      <c r="F14" s="136">
        <f t="shared" si="1"/>
        <v>0.93308293398955233</v>
      </c>
      <c r="G14" s="136">
        <f t="shared" si="2"/>
        <v>6.6917066010447668E-2</v>
      </c>
    </row>
    <row r="15" spans="1:9" x14ac:dyDescent="0.25">
      <c r="A15" s="20" t="s">
        <v>22</v>
      </c>
      <c r="B15" s="103">
        <f>63.82+27.87+2.21+B11</f>
        <v>351.35999999999996</v>
      </c>
      <c r="C15" s="134">
        <f>B15-E15</f>
        <v>320.85999999999996</v>
      </c>
      <c r="D15" s="132">
        <v>61</v>
      </c>
      <c r="E15" s="108">
        <f t="shared" si="0"/>
        <v>30.5</v>
      </c>
      <c r="F15" s="136">
        <f t="shared" si="1"/>
        <v>0.91319444444444442</v>
      </c>
      <c r="G15" s="136">
        <f t="shared" si="2"/>
        <v>8.680555555555558E-2</v>
      </c>
    </row>
    <row r="16" spans="1:9" x14ac:dyDescent="0.25">
      <c r="B16" s="50"/>
      <c r="C16" s="134"/>
      <c r="D16" s="132"/>
      <c r="E16" s="108"/>
      <c r="F16" s="136"/>
      <c r="G16" s="136"/>
    </row>
    <row r="17" spans="1:7" x14ac:dyDescent="0.25">
      <c r="A17" t="s">
        <v>25</v>
      </c>
      <c r="B17" s="50">
        <v>214.48</v>
      </c>
      <c r="C17" s="134">
        <f t="shared" si="3"/>
        <v>159.97999999999999</v>
      </c>
      <c r="D17" s="132">
        <v>109</v>
      </c>
      <c r="E17" s="108">
        <f t="shared" si="0"/>
        <v>54.5</v>
      </c>
      <c r="F17" s="136">
        <f t="shared" si="1"/>
        <v>0.74589705333830658</v>
      </c>
      <c r="G17" s="136">
        <f t="shared" si="2"/>
        <v>0.25410294666169342</v>
      </c>
    </row>
    <row r="18" spans="1:7" x14ac:dyDescent="0.25">
      <c r="A18" t="s">
        <v>26</v>
      </c>
      <c r="B18" s="50">
        <f>13.65+5.21</f>
        <v>18.86</v>
      </c>
      <c r="C18" s="134">
        <f t="shared" si="3"/>
        <v>14.86</v>
      </c>
      <c r="D18" s="132">
        <v>8</v>
      </c>
      <c r="E18" s="108">
        <f t="shared" si="0"/>
        <v>4</v>
      </c>
      <c r="F18" s="136">
        <f t="shared" si="1"/>
        <v>0.78791092258748674</v>
      </c>
      <c r="G18" s="136">
        <f t="shared" si="2"/>
        <v>0.21208907741251326</v>
      </c>
    </row>
    <row r="19" spans="1:7" x14ac:dyDescent="0.25">
      <c r="A19" t="s">
        <v>27</v>
      </c>
      <c r="B19" s="50">
        <v>37.5</v>
      </c>
      <c r="C19" s="134">
        <f t="shared" si="3"/>
        <v>33.5</v>
      </c>
      <c r="D19" s="132">
        <v>8</v>
      </c>
      <c r="E19" s="108">
        <f t="shared" si="0"/>
        <v>4</v>
      </c>
      <c r="F19" s="136">
        <f t="shared" si="1"/>
        <v>0.89333333333333331</v>
      </c>
      <c r="G19" s="136">
        <f t="shared" si="2"/>
        <v>0.10666666666666669</v>
      </c>
    </row>
    <row r="20" spans="1:7" x14ac:dyDescent="0.25">
      <c r="A20" s="29" t="s">
        <v>28</v>
      </c>
      <c r="B20" s="50">
        <v>267.41000000000003</v>
      </c>
      <c r="C20" s="134">
        <f t="shared" si="3"/>
        <v>228.41000000000003</v>
      </c>
      <c r="D20" s="132">
        <v>78</v>
      </c>
      <c r="E20" s="108">
        <f t="shared" si="0"/>
        <v>39</v>
      </c>
      <c r="F20" s="136">
        <f t="shared" si="1"/>
        <v>0.85415653864851726</v>
      </c>
      <c r="G20" s="136">
        <f t="shared" si="2"/>
        <v>0.14584346135148274</v>
      </c>
    </row>
    <row r="24" spans="1:7" x14ac:dyDescent="0.25">
      <c r="A24" t="s">
        <v>121</v>
      </c>
    </row>
    <row r="25" spans="1:7" x14ac:dyDescent="0.25">
      <c r="A25" t="s">
        <v>171</v>
      </c>
    </row>
    <row r="26" spans="1:7" x14ac:dyDescent="0.25">
      <c r="A26" t="s">
        <v>172</v>
      </c>
    </row>
    <row r="27" spans="1:7" x14ac:dyDescent="0.25">
      <c r="A27" t="s">
        <v>173</v>
      </c>
    </row>
    <row r="28" spans="1:7" x14ac:dyDescent="0.25">
      <c r="A28" t="s">
        <v>174</v>
      </c>
    </row>
  </sheetData>
  <mergeCells count="1">
    <mergeCell ref="H1:I1"/>
  </mergeCells>
  <pageMargins left="0.25" right="0.25" top="0.75" bottom="0.75" header="0.3" footer="0.3"/>
  <pageSetup scale="79"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2:S46"/>
  <sheetViews>
    <sheetView topLeftCell="A28" workbookViewId="0">
      <selection activeCell="L47" sqref="L47"/>
    </sheetView>
  </sheetViews>
  <sheetFormatPr defaultColWidth="9.140625" defaultRowHeight="15" x14ac:dyDescent="0.25"/>
  <cols>
    <col min="1" max="1" width="9.140625" style="63"/>
    <col min="2" max="2" width="23" style="63" customWidth="1"/>
    <col min="3" max="4" width="10.42578125" style="63" bestFit="1" customWidth="1"/>
    <col min="5" max="5" width="12.42578125" style="63" customWidth="1"/>
    <col min="6" max="6" width="4.85546875" style="63" customWidth="1"/>
    <col min="7" max="7" width="15.5703125" style="63" customWidth="1"/>
    <col min="8" max="9" width="9.140625" style="63"/>
    <col min="10" max="10" width="4" style="63" customWidth="1"/>
    <col min="11" max="11" width="17.85546875" style="63" customWidth="1"/>
    <col min="12" max="14" width="9.140625" style="63"/>
    <col min="15" max="15" width="11.85546875" style="63" customWidth="1"/>
    <col min="16" max="16" width="11" style="63" customWidth="1"/>
    <col min="17" max="16384" width="9.140625" style="63"/>
  </cols>
  <sheetData>
    <row r="2" spans="2:19" ht="15.75" thickBot="1" x14ac:dyDescent="0.3">
      <c r="B2" s="61" t="s">
        <v>47</v>
      </c>
      <c r="C2" s="62"/>
      <c r="D2" s="62"/>
      <c r="E2" s="62"/>
      <c r="F2" s="62"/>
      <c r="G2" s="62"/>
      <c r="H2" s="62"/>
      <c r="I2" s="62"/>
      <c r="J2" s="62"/>
      <c r="K2" s="62"/>
      <c r="L2" s="62"/>
      <c r="M2" s="62"/>
      <c r="N2" s="62"/>
    </row>
    <row r="4" spans="2:19" x14ac:dyDescent="0.25">
      <c r="B4" s="92" t="s">
        <v>48</v>
      </c>
      <c r="C4" s="117">
        <v>315</v>
      </c>
      <c r="D4" s="63" t="s">
        <v>49</v>
      </c>
      <c r="G4" s="92" t="s">
        <v>82</v>
      </c>
      <c r="H4" s="117">
        <v>50</v>
      </c>
      <c r="I4" s="63" t="s">
        <v>49</v>
      </c>
      <c r="K4" s="92" t="s">
        <v>83</v>
      </c>
      <c r="L4" s="91">
        <v>720</v>
      </c>
      <c r="M4" s="63" t="s">
        <v>49</v>
      </c>
      <c r="O4" s="63" t="s">
        <v>79</v>
      </c>
      <c r="P4" s="71"/>
      <c r="Q4" s="71"/>
      <c r="R4" s="71"/>
      <c r="S4" s="76">
        <v>2.29</v>
      </c>
    </row>
    <row r="5" spans="2:19" x14ac:dyDescent="0.25">
      <c r="B5" s="63" t="s">
        <v>52</v>
      </c>
      <c r="C5" s="79">
        <f>23000</f>
        <v>23000</v>
      </c>
      <c r="G5" s="63" t="s">
        <v>90</v>
      </c>
      <c r="H5" s="91">
        <v>1400</v>
      </c>
      <c r="K5" s="63" t="s">
        <v>90</v>
      </c>
      <c r="L5" s="91">
        <v>750</v>
      </c>
      <c r="O5" s="63" t="s">
        <v>80</v>
      </c>
      <c r="P5" s="71"/>
      <c r="Q5" s="71"/>
      <c r="R5" s="71"/>
      <c r="S5" s="76">
        <v>1.2</v>
      </c>
    </row>
    <row r="6" spans="2:19" x14ac:dyDescent="0.25">
      <c r="B6" s="63" t="s">
        <v>84</v>
      </c>
      <c r="C6" s="63">
        <f>C5/C4</f>
        <v>73.015873015873012</v>
      </c>
      <c r="D6" s="63" t="s">
        <v>10</v>
      </c>
      <c r="G6" s="63" t="s">
        <v>91</v>
      </c>
      <c r="H6" s="91">
        <v>28</v>
      </c>
      <c r="K6" s="63" t="s">
        <v>91</v>
      </c>
      <c r="L6" s="91">
        <v>18</v>
      </c>
      <c r="O6" s="63" t="s">
        <v>76</v>
      </c>
      <c r="P6" s="77">
        <v>2.2046226199999999</v>
      </c>
    </row>
    <row r="7" spans="2:19" x14ac:dyDescent="0.25">
      <c r="C7" s="63">
        <f>C6/2.2046</f>
        <v>33.119782734225261</v>
      </c>
      <c r="D7" s="63" t="s">
        <v>85</v>
      </c>
      <c r="G7" s="63" t="s">
        <v>92</v>
      </c>
      <c r="H7" s="63">
        <f>H6/2.2046</f>
        <v>12.700716683298557</v>
      </c>
      <c r="K7" s="63" t="s">
        <v>92</v>
      </c>
      <c r="L7" s="63">
        <f>L6/2.2046</f>
        <v>8.1647464392633573</v>
      </c>
      <c r="O7" s="63" t="s">
        <v>77</v>
      </c>
      <c r="P7" s="77">
        <v>453.59237000000002</v>
      </c>
    </row>
    <row r="8" spans="2:19" x14ac:dyDescent="0.25">
      <c r="B8" s="274" t="s">
        <v>53</v>
      </c>
      <c r="C8" s="274"/>
      <c r="D8" s="274"/>
      <c r="E8" s="274"/>
      <c r="F8" s="65"/>
      <c r="G8" s="74"/>
      <c r="H8" s="74"/>
      <c r="I8" s="65"/>
      <c r="J8" s="65"/>
      <c r="O8" s="63" t="s">
        <v>78</v>
      </c>
      <c r="P8" s="78">
        <v>8</v>
      </c>
    </row>
    <row r="9" spans="2:19" x14ac:dyDescent="0.25">
      <c r="B9" s="65"/>
      <c r="C9" s="65"/>
      <c r="D9" s="65" t="s">
        <v>54</v>
      </c>
      <c r="E9" s="65" t="s">
        <v>55</v>
      </c>
      <c r="F9" s="65"/>
      <c r="G9" s="74"/>
      <c r="H9" s="74"/>
      <c r="I9" s="65"/>
      <c r="J9" s="65"/>
    </row>
    <row r="10" spans="2:19" x14ac:dyDescent="0.25">
      <c r="B10" s="63" t="s">
        <v>56</v>
      </c>
      <c r="C10" s="66">
        <f>$D10+C7*$E10</f>
        <v>422.53556661468303</v>
      </c>
      <c r="D10" s="67">
        <v>283.3</v>
      </c>
      <c r="E10" s="67">
        <v>4.2039999999999997</v>
      </c>
      <c r="F10" s="90"/>
      <c r="H10" s="68">
        <v>0.13500000000000001</v>
      </c>
      <c r="I10" s="69" t="s">
        <v>57</v>
      </c>
      <c r="L10" s="68">
        <v>0.12</v>
      </c>
    </row>
    <row r="11" spans="2:19" x14ac:dyDescent="0.25">
      <c r="B11" s="63" t="s">
        <v>58</v>
      </c>
      <c r="C11" s="66">
        <f>$D11+C7*$E11</f>
        <v>71.616592053556133</v>
      </c>
      <c r="D11" s="67">
        <v>46.015000000000001</v>
      </c>
      <c r="E11" s="67">
        <v>0.77300000000000002</v>
      </c>
      <c r="F11" s="90"/>
      <c r="H11" s="68">
        <v>2.5000000000000001E-3</v>
      </c>
      <c r="I11" s="69" t="s">
        <v>59</v>
      </c>
      <c r="L11" s="68">
        <v>3.0000000000000001E-3</v>
      </c>
    </row>
    <row r="12" spans="2:19" x14ac:dyDescent="0.25">
      <c r="B12" s="63" t="s">
        <v>60</v>
      </c>
      <c r="C12" s="66">
        <f>$D12+C7*$E12</f>
        <v>90.769608921605467</v>
      </c>
      <c r="D12" s="67">
        <v>31.154</v>
      </c>
      <c r="E12" s="67">
        <v>1.8</v>
      </c>
      <c r="F12" s="90"/>
      <c r="H12" s="68">
        <v>6.4999999999999997E-3</v>
      </c>
      <c r="I12" s="69" t="s">
        <v>61</v>
      </c>
      <c r="L12" s="68">
        <v>0</v>
      </c>
    </row>
    <row r="13" spans="2:19" x14ac:dyDescent="0.25">
      <c r="C13" s="66"/>
      <c r="D13" s="70"/>
      <c r="E13" s="70"/>
      <c r="F13" s="70"/>
    </row>
    <row r="14" spans="2:19" x14ac:dyDescent="0.25">
      <c r="B14" s="63" t="s">
        <v>62</v>
      </c>
      <c r="C14" s="72">
        <f>C10/453.5924</f>
        <v>0.93153140708416415</v>
      </c>
      <c r="D14" s="73"/>
      <c r="E14" s="73"/>
      <c r="F14" s="73"/>
      <c r="H14" s="63">
        <f>(H7*12.747+H10*1606.29-117.5)/453.5924</f>
        <v>0.57594700784670716</v>
      </c>
      <c r="I14" s="274" t="s">
        <v>62</v>
      </c>
      <c r="J14" s="274"/>
      <c r="K14" s="274"/>
      <c r="L14" s="63">
        <f>((L7*1000*L10)/6.25)/453.5924</f>
        <v>0.345603523414097</v>
      </c>
    </row>
    <row r="15" spans="2:19" x14ac:dyDescent="0.25">
      <c r="B15" s="63" t="s">
        <v>63</v>
      </c>
      <c r="C15" s="72">
        <f t="shared" ref="C15:C16" si="0">C11/453.5924</f>
        <v>0.1578875484985113</v>
      </c>
      <c r="D15" s="73"/>
      <c r="E15" s="73"/>
      <c r="F15" s="73"/>
      <c r="H15" s="63">
        <f>(((H7*1000)*H11*H4-264.386)/H4)/453.5924</f>
        <v>5.8343287295480245E-2</v>
      </c>
      <c r="I15" s="274" t="s">
        <v>63</v>
      </c>
      <c r="J15" s="274"/>
      <c r="K15" s="274"/>
      <c r="L15" s="63">
        <f>((L7*1000)*L11)/453.5924</f>
        <v>5.4000550533452658E-2</v>
      </c>
    </row>
    <row r="16" spans="2:19" x14ac:dyDescent="0.25">
      <c r="B16" s="63" t="s">
        <v>64</v>
      </c>
      <c r="C16" s="72">
        <f t="shared" si="0"/>
        <v>0.200112719969747</v>
      </c>
      <c r="D16" s="73"/>
      <c r="E16" s="73"/>
      <c r="F16" s="73"/>
      <c r="H16" s="63">
        <f>(H7*1000*H12)/453.5924</f>
        <v>0.18200185550163672</v>
      </c>
      <c r="I16" s="274" t="s">
        <v>64</v>
      </c>
      <c r="J16" s="274"/>
      <c r="K16" s="274"/>
      <c r="L16" s="63">
        <f>(L7*1000*L12)/453.5924</f>
        <v>0</v>
      </c>
    </row>
    <row r="18" spans="2:12" x14ac:dyDescent="0.25">
      <c r="B18" s="74" t="s">
        <v>65</v>
      </c>
      <c r="C18" s="75"/>
      <c r="D18" s="75"/>
      <c r="E18" s="75"/>
      <c r="F18" s="75"/>
      <c r="G18" s="75"/>
      <c r="H18" s="75"/>
    </row>
    <row r="19" spans="2:12" x14ac:dyDescent="0.25">
      <c r="B19" s="63" t="s">
        <v>66</v>
      </c>
      <c r="C19" s="66">
        <f>C14*$C$4</f>
        <v>293.4323932315117</v>
      </c>
    </row>
    <row r="20" spans="2:12" x14ac:dyDescent="0.25">
      <c r="B20" s="63" t="s">
        <v>67</v>
      </c>
      <c r="C20" s="66">
        <f>C15*$C$4*S4</f>
        <v>113.89218310940113</v>
      </c>
    </row>
    <row r="21" spans="2:12" x14ac:dyDescent="0.25">
      <c r="B21" s="63" t="s">
        <v>68</v>
      </c>
      <c r="C21" s="66">
        <f>C16*$C$4*S5</f>
        <v>75.642608148564364</v>
      </c>
    </row>
    <row r="23" spans="2:12" x14ac:dyDescent="0.25">
      <c r="B23" s="274" t="s">
        <v>69</v>
      </c>
      <c r="C23" s="274"/>
      <c r="D23" s="274"/>
      <c r="E23" s="74"/>
      <c r="F23" s="74"/>
      <c r="G23" s="74"/>
      <c r="H23" s="274" t="s">
        <v>69</v>
      </c>
      <c r="I23" s="274"/>
      <c r="J23" s="274"/>
      <c r="K23" s="274"/>
      <c r="L23" s="274"/>
    </row>
    <row r="24" spans="2:12" x14ac:dyDescent="0.25">
      <c r="B24" s="65"/>
      <c r="C24" s="65" t="s">
        <v>50</v>
      </c>
      <c r="D24" s="65" t="s">
        <v>51</v>
      </c>
      <c r="E24" s="65"/>
      <c r="F24" s="65"/>
      <c r="G24" s="65"/>
      <c r="H24" s="64">
        <v>25</v>
      </c>
      <c r="L24" s="64">
        <v>20</v>
      </c>
    </row>
    <row r="25" spans="2:12" x14ac:dyDescent="0.25">
      <c r="B25" s="63" t="s">
        <v>70</v>
      </c>
      <c r="C25" s="80">
        <v>0.4</v>
      </c>
      <c r="D25" s="80">
        <v>0.2</v>
      </c>
      <c r="H25" s="64">
        <v>90</v>
      </c>
      <c r="L25" s="64">
        <v>90</v>
      </c>
    </row>
    <row r="26" spans="2:12" x14ac:dyDescent="0.25">
      <c r="B26" s="63" t="s">
        <v>71</v>
      </c>
      <c r="C26" s="80">
        <v>0.9</v>
      </c>
      <c r="D26" s="80">
        <v>0.9</v>
      </c>
      <c r="H26" s="64">
        <v>90</v>
      </c>
      <c r="L26" s="64">
        <v>90</v>
      </c>
    </row>
    <row r="27" spans="2:12" x14ac:dyDescent="0.25">
      <c r="B27" s="63" t="s">
        <v>72</v>
      </c>
      <c r="C27" s="80">
        <v>0.9</v>
      </c>
      <c r="D27" s="80">
        <v>0.9</v>
      </c>
    </row>
    <row r="29" spans="2:12" x14ac:dyDescent="0.25">
      <c r="B29" s="274" t="s">
        <v>73</v>
      </c>
      <c r="C29" s="274"/>
      <c r="D29" s="274"/>
      <c r="E29" s="274"/>
      <c r="F29" s="274"/>
      <c r="G29" s="74"/>
      <c r="H29" s="274" t="s">
        <v>73</v>
      </c>
      <c r="I29" s="274"/>
      <c r="J29" s="274"/>
      <c r="K29" s="274"/>
      <c r="L29" s="274"/>
    </row>
    <row r="30" spans="2:12" x14ac:dyDescent="0.25">
      <c r="B30" s="65"/>
      <c r="C30" s="65" t="s">
        <v>50</v>
      </c>
      <c r="D30" s="65" t="s">
        <v>51</v>
      </c>
      <c r="E30" s="65"/>
      <c r="F30" s="65"/>
      <c r="G30" s="65"/>
      <c r="H30" s="65"/>
    </row>
    <row r="31" spans="2:12" x14ac:dyDescent="0.25">
      <c r="B31" s="63" t="s">
        <v>70</v>
      </c>
      <c r="C31" s="66">
        <f>C19*C25</f>
        <v>117.37295729260468</v>
      </c>
      <c r="D31" s="66">
        <f>D25*C19</f>
        <v>58.686478646302341</v>
      </c>
      <c r="H31" s="63">
        <f>H14*H24/100*H4</f>
        <v>7.1993375980838392</v>
      </c>
      <c r="L31" s="63">
        <f>L14*L24/100*L4</f>
        <v>49.766907371629969</v>
      </c>
    </row>
    <row r="32" spans="2:12" x14ac:dyDescent="0.25">
      <c r="B32" s="63" t="s">
        <v>74</v>
      </c>
      <c r="C32" s="66">
        <f>C20*C26</f>
        <v>102.50296479846102</v>
      </c>
      <c r="D32" s="66">
        <f t="shared" ref="D32:D33" si="1">D26*C20</f>
        <v>102.50296479846102</v>
      </c>
      <c r="H32" s="63">
        <f>H15*H25/100*H4*S4</f>
        <v>6.012275755799239</v>
      </c>
      <c r="L32" s="63">
        <f>L15*L25/100*L4*S4</f>
        <v>80.132496947601069</v>
      </c>
    </row>
    <row r="33" spans="2:12" x14ac:dyDescent="0.25">
      <c r="B33" s="63" t="s">
        <v>75</v>
      </c>
      <c r="C33" s="66">
        <f>C27*C21</f>
        <v>68.078347333707924</v>
      </c>
      <c r="D33" s="66">
        <f t="shared" si="1"/>
        <v>68.078347333707924</v>
      </c>
      <c r="H33" s="63">
        <f>H16*H26/100*H4*S5</f>
        <v>9.8281001970883839</v>
      </c>
      <c r="L33" s="63">
        <f>L16*L26/100*L4*S5</f>
        <v>0</v>
      </c>
    </row>
    <row r="35" spans="2:12" ht="33.75" customHeight="1" x14ac:dyDescent="0.25">
      <c r="C35" s="63" t="s">
        <v>0</v>
      </c>
      <c r="D35" s="63" t="s">
        <v>81</v>
      </c>
      <c r="E35" s="94" t="s">
        <v>93</v>
      </c>
      <c r="F35" s="94"/>
      <c r="G35" s="94" t="s">
        <v>94</v>
      </c>
      <c r="H35" s="63" t="s">
        <v>83</v>
      </c>
    </row>
    <row r="36" spans="2:12" ht="15.75" x14ac:dyDescent="0.25">
      <c r="B36" s="81" t="s">
        <v>86</v>
      </c>
      <c r="C36" s="82">
        <v>0.56000000000000005</v>
      </c>
      <c r="D36" s="83">
        <v>0.93899999999999995</v>
      </c>
      <c r="E36" s="84">
        <f>C31+H31</f>
        <v>124.57229489068853</v>
      </c>
      <c r="F36" s="84"/>
      <c r="G36" s="93">
        <f>D31+H31</f>
        <v>65.885816244386177</v>
      </c>
      <c r="H36" s="63">
        <f>L31/L4*365</f>
        <v>25.229057209229083</v>
      </c>
    </row>
    <row r="37" spans="2:12" ht="15.75" x14ac:dyDescent="0.25">
      <c r="B37" s="81" t="s">
        <v>87</v>
      </c>
      <c r="C37" s="82">
        <v>0.68</v>
      </c>
      <c r="D37" s="83">
        <v>0.93899999999999995</v>
      </c>
      <c r="E37" s="84">
        <f t="shared" ref="E37:E38" si="2">C32+H32</f>
        <v>108.51524055426026</v>
      </c>
      <c r="F37" s="84"/>
      <c r="G37" s="93">
        <f t="shared" ref="G37:G38" si="3">D32+H32</f>
        <v>108.51524055426026</v>
      </c>
      <c r="H37" s="63">
        <f>L32/L4*365</f>
        <v>40.622724147047762</v>
      </c>
    </row>
    <row r="38" spans="2:12" ht="15.75" x14ac:dyDescent="0.25">
      <c r="B38" s="81" t="s">
        <v>88</v>
      </c>
      <c r="C38" s="82">
        <v>0.4</v>
      </c>
      <c r="D38" s="83">
        <v>0</v>
      </c>
      <c r="E38" s="84">
        <f t="shared" si="2"/>
        <v>77.906447530796314</v>
      </c>
      <c r="F38" s="84"/>
      <c r="G38" s="93">
        <f t="shared" si="3"/>
        <v>77.906447530796314</v>
      </c>
      <c r="H38" s="63">
        <f>L33</f>
        <v>0</v>
      </c>
    </row>
    <row r="39" spans="2:12" ht="15.75" x14ac:dyDescent="0.25">
      <c r="B39" s="85" t="s">
        <v>89</v>
      </c>
      <c r="C39" s="86">
        <v>0</v>
      </c>
      <c r="D39" s="87">
        <v>1</v>
      </c>
      <c r="E39" s="88">
        <f>(C6*2.9133*(C4/P8))+((H5/17.73)*(H4/P8))</f>
        <v>8869.2513183869141</v>
      </c>
      <c r="F39" s="89"/>
      <c r="G39" s="93">
        <f>(C6*2.9133*(C4/P8))+((H5/17.73)*(H4/P8))</f>
        <v>8869.2513183869141</v>
      </c>
      <c r="H39" s="63">
        <f>4750/L4*365</f>
        <v>2407.9861111111113</v>
      </c>
    </row>
    <row r="41" spans="2:12" x14ac:dyDescent="0.25">
      <c r="D41" s="63" t="s">
        <v>95</v>
      </c>
      <c r="E41" s="96">
        <f>C36*D36*E36</f>
        <v>65.505095545319648</v>
      </c>
      <c r="G41" s="96">
        <f>C36*D36*G36</f>
        <v>34.645397613948028</v>
      </c>
      <c r="H41" s="96">
        <f>C36*D36*H36</f>
        <v>13.26644744290102</v>
      </c>
    </row>
    <row r="42" spans="2:12" x14ac:dyDescent="0.25">
      <c r="D42" s="63" t="s">
        <v>96</v>
      </c>
      <c r="E42" s="96">
        <f>C37*D37*E37</f>
        <v>69.289151398706252</v>
      </c>
      <c r="G42" s="96">
        <f>C37*D37*G37</f>
        <v>69.289151398706252</v>
      </c>
      <c r="H42" s="96">
        <f>C37*D37*H37</f>
        <v>25.938421822372938</v>
      </c>
    </row>
    <row r="43" spans="2:12" x14ac:dyDescent="0.25">
      <c r="D43" s="63" t="s">
        <v>97</v>
      </c>
      <c r="E43" s="95">
        <f>C38*D38*E38</f>
        <v>0</v>
      </c>
      <c r="G43" s="96">
        <f>C38*D38*G38</f>
        <v>0</v>
      </c>
      <c r="H43" s="63">
        <v>0</v>
      </c>
    </row>
    <row r="44" spans="2:12" x14ac:dyDescent="0.25">
      <c r="D44" s="63" t="s">
        <v>98</v>
      </c>
      <c r="E44" s="96">
        <f>C39*D39*E39</f>
        <v>0</v>
      </c>
      <c r="G44" s="96">
        <f>C39*D39*G39</f>
        <v>0</v>
      </c>
      <c r="H44" s="96">
        <f>C39*D39*H39</f>
        <v>0</v>
      </c>
    </row>
    <row r="45" spans="2:12" x14ac:dyDescent="0.25">
      <c r="D45" s="63" t="s">
        <v>99</v>
      </c>
      <c r="E45" s="96">
        <f>E41+E42+E43-E44</f>
        <v>134.7942469440259</v>
      </c>
      <c r="F45" s="96"/>
      <c r="G45" s="96">
        <f>G41+G42+G43-G44</f>
        <v>103.93454901265429</v>
      </c>
      <c r="H45" s="96">
        <f>H41+H42-H44</f>
        <v>39.204869265273956</v>
      </c>
    </row>
    <row r="46" spans="2:12" x14ac:dyDescent="0.25">
      <c r="D46" s="63" t="s">
        <v>211</v>
      </c>
      <c r="E46" s="63" t="s">
        <v>212</v>
      </c>
      <c r="H46" s="63" t="s">
        <v>213</v>
      </c>
    </row>
  </sheetData>
  <mergeCells count="8">
    <mergeCell ref="H29:L29"/>
    <mergeCell ref="B8:E8"/>
    <mergeCell ref="I14:K14"/>
    <mergeCell ref="I15:K15"/>
    <mergeCell ref="I16:K16"/>
    <mergeCell ref="B23:D23"/>
    <mergeCell ref="H23:L23"/>
    <mergeCell ref="B29:F2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Introduction</vt:lpstr>
      <vt:lpstr>Prices</vt:lpstr>
      <vt:lpstr>Cow Milking-Purchased Replmts</vt:lpstr>
      <vt:lpstr>Cow Milking-Raised Replmts</vt:lpstr>
      <vt:lpstr>Replacement Heifers</vt:lpstr>
      <vt:lpstr>Heifer Costs WI Report</vt:lpstr>
      <vt:lpstr>Costs</vt:lpstr>
      <vt:lpstr>Manure Credit</vt:lpstr>
      <vt:lpstr>Prices</vt:lpstr>
      <vt:lpstr>'Cow Milking-Purchased Replmts'!Print_Area</vt:lpstr>
      <vt:lpstr>'Cow Milking-Raised Replmts'!Print_Area</vt:lpstr>
      <vt:lpstr>Introduction!Print_Area</vt:lpstr>
      <vt:lpstr>'Replacement Heifers'!Print_Area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robinreid</dc:creator>
  <cp:lastModifiedBy>robinreid</cp:lastModifiedBy>
  <cp:lastPrinted>2017-07-06T20:55:00Z</cp:lastPrinted>
  <dcterms:created xsi:type="dcterms:W3CDTF">2015-03-23T18:41:11Z</dcterms:created>
  <dcterms:modified xsi:type="dcterms:W3CDTF">2017-07-06T20:56:52Z</dcterms:modified>
</cp:coreProperties>
</file>