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53222"/>
  <mc:AlternateContent xmlns:mc="http://schemas.openxmlformats.org/markup-compatibility/2006">
    <mc:Choice Requires="x15">
      <x15ac:absPath xmlns:x15ac="http://schemas.microsoft.com/office/spreadsheetml/2010/11/ac" url="C:\Users\robinreid\Dropbox\Livestock Farm Management Guides\Sept 2016 Updates\"/>
    </mc:Choice>
  </mc:AlternateContent>
  <bookViews>
    <workbookView xWindow="0" yWindow="0" windowWidth="23040" windowHeight="9120"/>
  </bookViews>
  <sheets>
    <sheet name="Introduction" sheetId="7" r:id="rId1"/>
    <sheet name="Prices" sheetId="2" r:id="rId2"/>
    <sheet name="Feed" sheetId="4" r:id="rId3"/>
    <sheet name="Once a Year Lambing" sheetId="3" r:id="rId4"/>
    <sheet name="Stocker" sheetId="5" state="hidden" r:id="rId5"/>
    <sheet name="Feedlot" sheetId="6" state="hidden" r:id="rId6"/>
  </sheets>
  <externalReferences>
    <externalReference r:id="rId7"/>
  </externalReferences>
  <definedNames>
    <definedName name="data">[1]kcd!$B$10:$AZ$1374</definedName>
    <definedName name="price_selections">Prices!$A$1:$A$3</definedName>
    <definedName name="_xlnm.Print_Area" localSheetId="2">Feed!$B$1:$L$29</definedName>
    <definedName name="_xlnm.Print_Area" localSheetId="5">Feedlot!$A$1:$J$134</definedName>
    <definedName name="_xlnm.Print_Area" localSheetId="0">Introduction!$A$1:$M$55</definedName>
    <definedName name="_xlnm.Print_Area" localSheetId="3">'Once a Year Lambing'!$A$1:$J$131</definedName>
    <definedName name="_xlnm.Print_Area" localSheetId="1">Prices!$A$4:$F$16</definedName>
    <definedName name="_xlnm.Print_Area" localSheetId="4">Stocker!$A$1:$J$136</definedName>
    <definedName name="Z_7F8F69BA_F1D1_4483_B535_1A9BCCCC12B7_.wvu.PrintArea" localSheetId="0" hidden="1">Introduction!$B$2:$L$43</definedName>
    <definedName name="Z_7F8F69BA_F1D1_4483_B535_1A9BCCCC12B7_.wvu.Rows" localSheetId="0" hidden="1">Introduction!#REF!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8" i="3" l="1"/>
  <c r="A131" i="3" l="1"/>
  <c r="A94" i="3"/>
  <c r="A115" i="3" l="1"/>
  <c r="I47" i="3"/>
  <c r="C123" i="3"/>
  <c r="C122" i="3"/>
  <c r="B123" i="3"/>
  <c r="B8" i="3"/>
  <c r="B122" i="3" l="1"/>
  <c r="B9" i="3"/>
  <c r="A123" i="3"/>
  <c r="A122" i="3"/>
  <c r="C121" i="3" l="1"/>
  <c r="C120" i="3"/>
  <c r="C119" i="3"/>
  <c r="B119" i="3"/>
  <c r="C118" i="3"/>
  <c r="A121" i="3"/>
  <c r="A120" i="3"/>
  <c r="A119" i="3"/>
  <c r="A118" i="3"/>
  <c r="C117" i="3"/>
  <c r="B117" i="3"/>
  <c r="A117" i="3"/>
  <c r="C116" i="3"/>
  <c r="C115" i="3"/>
  <c r="B115" i="3"/>
  <c r="A116" i="3"/>
  <c r="B120" i="3" l="1"/>
  <c r="B15" i="3"/>
  <c r="B18" i="3"/>
  <c r="B121" i="3"/>
  <c r="B118" i="3"/>
  <c r="B116" i="3"/>
  <c r="J8" i="3"/>
  <c r="J22" i="3" l="1"/>
  <c r="E21" i="3"/>
  <c r="J21" i="3" l="1"/>
  <c r="J38" i="3" l="1"/>
  <c r="E18" i="3" l="1"/>
  <c r="J18" i="3" l="1"/>
  <c r="J19" i="3" l="1"/>
  <c r="J20" i="3"/>
  <c r="C12" i="4" l="1"/>
  <c r="B17" i="3" s="1"/>
  <c r="C9" i="4"/>
  <c r="B16" i="3" s="1"/>
  <c r="E17" i="3" l="1"/>
  <c r="J17" i="3" s="1"/>
  <c r="B20" i="4"/>
  <c r="E16" i="3"/>
  <c r="J16" i="3" l="1"/>
  <c r="H9" i="3" l="1"/>
  <c r="E15" i="3"/>
  <c r="B108" i="3"/>
  <c r="B102" i="3"/>
  <c r="B103" i="3"/>
  <c r="B104" i="3"/>
  <c r="B105" i="3"/>
  <c r="B106" i="3"/>
  <c r="B107" i="3"/>
  <c r="B109" i="3"/>
  <c r="B101" i="3"/>
  <c r="C102" i="3"/>
  <c r="C103" i="3"/>
  <c r="C104" i="3"/>
  <c r="C105" i="3"/>
  <c r="C106" i="3"/>
  <c r="C107" i="3"/>
  <c r="C108" i="3"/>
  <c r="C109" i="3"/>
  <c r="C101" i="3"/>
  <c r="A102" i="3"/>
  <c r="A103" i="3"/>
  <c r="A104" i="3"/>
  <c r="A105" i="3"/>
  <c r="A106" i="3"/>
  <c r="A107" i="3"/>
  <c r="A108" i="3"/>
  <c r="A109" i="3"/>
  <c r="A101" i="3"/>
  <c r="J15" i="3" l="1"/>
  <c r="J30" i="3" s="1"/>
  <c r="J40" i="3" l="1"/>
  <c r="E8" i="6"/>
  <c r="J18" i="6" l="1"/>
  <c r="J21" i="5"/>
  <c r="E19" i="6" l="1"/>
  <c r="E22" i="5" l="1"/>
  <c r="I14" i="4" l="1"/>
  <c r="B8" i="6" l="1"/>
  <c r="E20" i="5" l="1"/>
  <c r="B98" i="6" l="1"/>
  <c r="B99" i="6"/>
  <c r="B100" i="6"/>
  <c r="B102" i="6"/>
  <c r="B103" i="6"/>
  <c r="B104" i="6"/>
  <c r="B106" i="6"/>
  <c r="B100" i="5"/>
  <c r="B101" i="5"/>
  <c r="B102" i="5"/>
  <c r="B103" i="5"/>
  <c r="B105" i="5"/>
  <c r="B106" i="5"/>
  <c r="B107" i="5"/>
  <c r="B109" i="5"/>
  <c r="B99" i="5"/>
  <c r="E116" i="6" l="1"/>
  <c r="B116" i="6"/>
  <c r="E115" i="6"/>
  <c r="B115" i="6"/>
  <c r="B125" i="6"/>
  <c r="B124" i="6"/>
  <c r="B123" i="6"/>
  <c r="B122" i="6"/>
  <c r="B121" i="6"/>
  <c r="B119" i="6"/>
  <c r="E118" i="6"/>
  <c r="B118" i="6"/>
  <c r="E117" i="6"/>
  <c r="B117" i="6"/>
  <c r="J44" i="6"/>
  <c r="J91" i="6" s="1"/>
  <c r="J134" i="6" s="1"/>
  <c r="B127" i="5"/>
  <c r="B126" i="5"/>
  <c r="B125" i="5"/>
  <c r="B124" i="5"/>
  <c r="B123" i="5"/>
  <c r="B121" i="5"/>
  <c r="E120" i="5"/>
  <c r="B120" i="5"/>
  <c r="E119" i="5"/>
  <c r="B119" i="5"/>
  <c r="E118" i="5"/>
  <c r="B118" i="5"/>
  <c r="E117" i="5"/>
  <c r="J45" i="5"/>
  <c r="J92" i="5" s="1"/>
  <c r="J136" i="5" s="1"/>
  <c r="I13" i="4" l="1"/>
  <c r="B19" i="5" l="1"/>
  <c r="E19" i="5"/>
  <c r="B108" i="5"/>
  <c r="I22" i="4"/>
  <c r="I10" i="4"/>
  <c r="C23" i="4"/>
  <c r="B101" i="6" l="1"/>
  <c r="E18" i="5"/>
  <c r="B104" i="5"/>
  <c r="B18" i="5"/>
  <c r="E15" i="6"/>
  <c r="E17" i="6" l="1"/>
  <c r="I26" i="4"/>
  <c r="B9" i="6"/>
  <c r="J5" i="6"/>
  <c r="J19" i="6"/>
  <c r="B17" i="6"/>
  <c r="E17" i="5"/>
  <c r="E16" i="5"/>
  <c r="J22" i="5"/>
  <c r="B20" i="5"/>
  <c r="B17" i="5"/>
  <c r="B16" i="5"/>
  <c r="E10" i="5"/>
  <c r="E9" i="5" s="1"/>
  <c r="B9" i="5"/>
  <c r="J25" i="6" l="1"/>
  <c r="J24" i="6"/>
  <c r="J23" i="6"/>
  <c r="J22" i="6"/>
  <c r="J21" i="6"/>
  <c r="J20" i="6"/>
  <c r="B105" i="6"/>
  <c r="J8" i="6"/>
  <c r="J9" i="6"/>
  <c r="J10" i="6" s="1"/>
  <c r="E16" i="6"/>
  <c r="B16" i="6"/>
  <c r="J17" i="6"/>
  <c r="J17" i="5"/>
  <c r="J18" i="5"/>
  <c r="J16" i="5"/>
  <c r="J20" i="5"/>
  <c r="C27" i="4"/>
  <c r="J9" i="5" l="1"/>
  <c r="J5" i="5"/>
  <c r="J27" i="5" s="1"/>
  <c r="J16" i="6"/>
  <c r="J34" i="6"/>
  <c r="J12" i="6"/>
  <c r="J28" i="5" l="1"/>
  <c r="J24" i="5"/>
  <c r="J23" i="5"/>
  <c r="J26" i="5"/>
  <c r="J25" i="5"/>
  <c r="J19" i="5"/>
  <c r="J29" i="5" l="1"/>
  <c r="J37" i="5"/>
  <c r="J39" i="5" l="1"/>
  <c r="I94" i="3"/>
  <c r="I131" i="3" s="1"/>
  <c r="C5" i="2" l="1"/>
  <c r="C4" i="2"/>
  <c r="B4" i="2"/>
  <c r="G1" i="5" l="1"/>
  <c r="G1" i="6"/>
  <c r="G1" i="3"/>
  <c r="J9" i="3" l="1"/>
  <c r="J12" i="3" s="1"/>
  <c r="J42" i="3" l="1"/>
  <c r="J43" i="3"/>
  <c r="C116" i="6"/>
  <c r="C115" i="6" l="1"/>
  <c r="C118" i="5"/>
  <c r="B120" i="6"/>
  <c r="B122" i="5"/>
  <c r="B15" i="6"/>
  <c r="J15" i="6" s="1"/>
  <c r="J26" i="6" s="1"/>
  <c r="C120" i="5"/>
  <c r="C118" i="6"/>
  <c r="C117" i="6"/>
  <c r="C119" i="5"/>
  <c r="E121" i="6" l="1"/>
  <c r="E123" i="5"/>
  <c r="E120" i="6"/>
  <c r="E122" i="5"/>
  <c r="J36" i="6"/>
  <c r="J39" i="6" s="1"/>
  <c r="J38" i="6"/>
  <c r="E122" i="6"/>
  <c r="E124" i="5"/>
  <c r="C124" i="6" l="1"/>
  <c r="C126" i="5"/>
  <c r="C125" i="6"/>
  <c r="C127" i="5"/>
  <c r="C117" i="5"/>
  <c r="E125" i="5"/>
  <c r="E123" i="6"/>
  <c r="B10" i="5"/>
  <c r="J10" i="5" s="1"/>
  <c r="J11" i="5" s="1"/>
  <c r="J13" i="5" s="1"/>
  <c r="B117" i="5"/>
  <c r="E127" i="5"/>
  <c r="E125" i="6"/>
  <c r="E124" i="6"/>
  <c r="E126" i="5"/>
  <c r="C123" i="6"/>
  <c r="C125" i="5"/>
  <c r="B116" i="5"/>
  <c r="J41" i="5" l="1"/>
  <c r="J42" i="5"/>
  <c r="E116" i="5"/>
  <c r="C116" i="5"/>
  <c r="C120" i="6" l="1"/>
  <c r="C122" i="5"/>
  <c r="C124" i="5"/>
  <c r="C122" i="6"/>
  <c r="C121" i="6"/>
  <c r="C123" i="5"/>
  <c r="E119" i="6"/>
  <c r="E121" i="5"/>
  <c r="C119" i="6" l="1"/>
  <c r="C121" i="5"/>
</calcChain>
</file>

<file path=xl/comments1.xml><?xml version="1.0" encoding="utf-8"?>
<comments xmlns="http://schemas.openxmlformats.org/spreadsheetml/2006/main">
  <authors>
    <author>Glynn Tonsor</author>
  </authors>
  <commentList>
    <comment ref="D10" authorId="0" shapeId="0">
      <text>
        <r>
          <rPr>
            <b/>
            <sz val="9"/>
            <color indexed="81"/>
            <rFont val="Tahoma"/>
            <family val="2"/>
          </rPr>
          <t>Glynn Tonsor:</t>
        </r>
        <r>
          <rPr>
            <sz val="9"/>
            <color indexed="81"/>
            <rFont val="Tahoma"/>
            <family val="2"/>
          </rPr>
          <t xml:space="preserve">
Used FEEDPR.xls from LMIC to derive Alfalfa Price relationship to Corn price (2010-2014 data used).  Reduce by 50% as Brome/Cain value is roughly 50% of Alfalfa given Mar 2014 KS AMS prices.</t>
        </r>
      </text>
    </comment>
    <comment ref="F10" authorId="0" shapeId="0">
      <text>
        <r>
          <rPr>
            <b/>
            <sz val="9"/>
            <color indexed="81"/>
            <rFont val="Tahoma"/>
            <family val="2"/>
          </rPr>
          <t>Glynn Tonsor:</t>
        </r>
        <r>
          <rPr>
            <sz val="9"/>
            <color indexed="81"/>
            <rFont val="Tahoma"/>
            <family val="2"/>
          </rPr>
          <t xml:space="preserve">
Used FEEDPR.xls from LMIC to derive Alfalfa Price relationship to Corn price (2010-2014 data used).  Reduce by 50% as Brome/Cain value is roughly 50% of Alfalfa given Mar 2014 KS AMS prices.</t>
        </r>
      </text>
    </comment>
    <comment ref="D11" authorId="0" shapeId="0">
      <text>
        <r>
          <rPr>
            <b/>
            <sz val="9"/>
            <color indexed="81"/>
            <rFont val="Tahoma"/>
            <family val="2"/>
          </rPr>
          <t>Glynn Tonsor:</t>
        </r>
        <r>
          <rPr>
            <sz val="9"/>
            <color indexed="81"/>
            <rFont val="Tahoma"/>
            <family val="2"/>
          </rPr>
          <t xml:space="preserve">
Used FEEDPR.xls from LMIC to derive Alfalfa Price relationship to Corn price (2010-2014 data used).  </t>
        </r>
      </text>
    </comment>
    <comment ref="F11" authorId="0" shapeId="0">
      <text>
        <r>
          <rPr>
            <b/>
            <sz val="9"/>
            <color indexed="81"/>
            <rFont val="Tahoma"/>
            <family val="2"/>
          </rPr>
          <t>Glynn Tonsor:</t>
        </r>
        <r>
          <rPr>
            <sz val="9"/>
            <color indexed="81"/>
            <rFont val="Tahoma"/>
            <family val="2"/>
          </rPr>
          <t xml:space="preserve">
Used FEEDPR.xls from LMIC to derive Alfalfa Price relationship to Corn price (2010-2014 data used).  </t>
        </r>
      </text>
    </comment>
  </commentList>
</comments>
</file>

<file path=xl/sharedStrings.xml><?xml version="1.0" encoding="utf-8"?>
<sst xmlns="http://schemas.openxmlformats.org/spreadsheetml/2006/main" count="481" uniqueCount="175">
  <si>
    <t>Revenue</t>
  </si>
  <si>
    <t>Notes/source</t>
  </si>
  <si>
    <t>Production Efficiency Information</t>
  </si>
  <si>
    <t>Price</t>
  </si>
  <si>
    <t>Unit</t>
  </si>
  <si>
    <t>lbs</t>
  </si>
  <si>
    <t xml:space="preserve"> x</t>
  </si>
  <si>
    <t xml:space="preserve"> =</t>
  </si>
  <si>
    <t xml:space="preserve">  Gross Income</t>
  </si>
  <si>
    <t>Corn ($/bu)</t>
  </si>
  <si>
    <t>Soybean meal ($/ton)</t>
  </si>
  <si>
    <t>Variable Costs</t>
  </si>
  <si>
    <t>Fixed Costs</t>
  </si>
  <si>
    <t xml:space="preserve">  Total Fixed Costs</t>
  </si>
  <si>
    <t>Total Costs</t>
  </si>
  <si>
    <t xml:space="preserve">  Total Variable Costs</t>
  </si>
  <si>
    <t xml:space="preserve">Income Over Total Costs </t>
  </si>
  <si>
    <t>http://www.usda.gov/oce/commodity/projections/</t>
  </si>
  <si>
    <t>Qty</t>
  </si>
  <si>
    <t>Current Prices</t>
  </si>
  <si>
    <t>Total per Year</t>
  </si>
  <si>
    <t>Other</t>
  </si>
  <si>
    <t>Pasture</t>
  </si>
  <si>
    <t>Harvested Forage</t>
  </si>
  <si>
    <t>Crop Residue</t>
  </si>
  <si>
    <t>per acre</t>
  </si>
  <si>
    <t>per ton</t>
  </si>
  <si>
    <t>Mineral</t>
  </si>
  <si>
    <t>Grain/Protein Supplements</t>
  </si>
  <si>
    <t>Labor</t>
  </si>
  <si>
    <t>Vet Medicine/Drugs</t>
  </si>
  <si>
    <t>Utilities,Gas, Fuel, Oil</t>
  </si>
  <si>
    <t>Other variable costs</t>
  </si>
  <si>
    <t>Depreciation</t>
  </si>
  <si>
    <t>Income Over Variable Costs</t>
  </si>
  <si>
    <t>Current price *1.10</t>
  </si>
  <si>
    <t>USE deferred CME SB to Adjust off of Current price</t>
  </si>
  <si>
    <t>USE deferred CME C to Adjust off of Current price</t>
  </si>
  <si>
    <t>One Year Out Prices</t>
  </si>
  <si>
    <t>Adjust off of Corn Price</t>
  </si>
  <si>
    <t>Salt and Mineral</t>
  </si>
  <si>
    <t>per cwt</t>
  </si>
  <si>
    <r>
      <t xml:space="preserve">Kansas State University, Department of Agricultural Economics - </t>
    </r>
    <r>
      <rPr>
        <b/>
        <i/>
        <sz val="12"/>
        <color rgb="FF7030A0"/>
        <rFont val="Calibri"/>
        <family val="2"/>
        <scheme val="minor"/>
      </rPr>
      <t>www.agmanager.info</t>
    </r>
  </si>
  <si>
    <t>Purchase price</t>
  </si>
  <si>
    <t>Feeder Sale</t>
  </si>
  <si>
    <t>x</t>
  </si>
  <si>
    <t>=</t>
  </si>
  <si>
    <t>Death Loss</t>
  </si>
  <si>
    <t>Marketing costs</t>
  </si>
  <si>
    <t>Average Daily Gain</t>
  </si>
  <si>
    <t>Days on Feed</t>
  </si>
  <si>
    <t>Alfalfa</t>
  </si>
  <si>
    <t>lbs/day</t>
  </si>
  <si>
    <t>Corn</t>
  </si>
  <si>
    <t>DDG's</t>
  </si>
  <si>
    <t>Soybean Meal</t>
  </si>
  <si>
    <t xml:space="preserve">Stocker Feed Requirements </t>
  </si>
  <si>
    <t>per hour</t>
  </si>
  <si>
    <t>hours</t>
  </si>
  <si>
    <t>Machinery, Facility/Equip. Repairs</t>
  </si>
  <si>
    <t>Opportunity Cost of Investment</t>
  </si>
  <si>
    <t>Farm/Livestock Insurance</t>
  </si>
  <si>
    <t xml:space="preserve"> KSU Beef Stocker Budget</t>
  </si>
  <si>
    <t>Taxes</t>
  </si>
  <si>
    <t>Gross Return</t>
  </si>
  <si>
    <t>Total Gross Return</t>
  </si>
  <si>
    <t xml:space="preserve">(per animal unit) </t>
  </si>
  <si>
    <t>total acres</t>
  </si>
  <si>
    <t>total tons</t>
  </si>
  <si>
    <t>total lbs</t>
  </si>
  <si>
    <t>Hay ($/ton)</t>
  </si>
  <si>
    <t>Alfalfa ($/ton)</t>
  </si>
  <si>
    <t>Pasture Rental ($/acre)</t>
  </si>
  <si>
    <t>Crop Residue ($/acre)</t>
  </si>
  <si>
    <t>Mineral ($/ton)</t>
  </si>
  <si>
    <t>Other fixed costs</t>
  </si>
  <si>
    <t>Total Grain/Protein Supplements</t>
  </si>
  <si>
    <t>Total Harvested Forage</t>
  </si>
  <si>
    <t>Silage</t>
  </si>
  <si>
    <t>total acres for feeding period</t>
  </si>
  <si>
    <t>(per animal unit)</t>
  </si>
  <si>
    <t>total acres per year</t>
  </si>
  <si>
    <t>total lbs per year</t>
  </si>
  <si>
    <t>Silage ($/ton)</t>
  </si>
  <si>
    <t>total hours</t>
  </si>
  <si>
    <t>Budget Assumptions</t>
  </si>
  <si>
    <t>Current</t>
  </si>
  <si>
    <t>One Year Out</t>
  </si>
  <si>
    <t>Five Years Out</t>
  </si>
  <si>
    <t>Distillers Grains ($/ton)</t>
  </si>
  <si>
    <t>Heifer Calf Price ($/cwt)</t>
  </si>
  <si>
    <t>Feeder Steers($/cwt)</t>
  </si>
  <si>
    <t>Steer Calf Price ($/cwt)</t>
  </si>
  <si>
    <t xml:space="preserve">Backgrounding Feed Requirements </t>
  </si>
  <si>
    <t xml:space="preserve"> KSU Beef Finishing Budget</t>
  </si>
  <si>
    <t>Publication: AM-FMG-Finishing</t>
  </si>
  <si>
    <t>Publication: AM-FMG-Stocker</t>
  </si>
  <si>
    <t>Feeder Steers ($/cwt)</t>
  </si>
  <si>
    <t>5-area Fed Cattle ($/cwt)</t>
  </si>
  <si>
    <t>Fed Animal Sale</t>
  </si>
  <si>
    <t xml:space="preserve">Finishing Feed Requirements </t>
  </si>
  <si>
    <t xml:space="preserve">Click on "Current Prices" to change to "One Year Out Prices " or "Five Years Out Prices"
</t>
  </si>
  <si>
    <t>CWT Produced</t>
  </si>
  <si>
    <t>Other Livestock Breeding/Marketing</t>
  </si>
  <si>
    <t>total pounds for feeding period</t>
  </si>
  <si>
    <t>total tons for feeding period</t>
  </si>
  <si>
    <t>Days on Grass</t>
  </si>
  <si>
    <t>Equal to 8X the corn price</t>
  </si>
  <si>
    <t>Prairie/Brome Hay</t>
  </si>
  <si>
    <t>Default Stocker Prices</t>
  </si>
  <si>
    <t>Default Beef Finishing Prices</t>
  </si>
  <si>
    <t>Cash Interest Paid</t>
  </si>
  <si>
    <t>Other Income</t>
  </si>
  <si>
    <t>Other Feed</t>
  </si>
  <si>
    <t>per unit</t>
  </si>
  <si>
    <t>units</t>
  </si>
  <si>
    <t>SHEEP RATIONS TO SET FEED AND GRAZING COSTS</t>
  </si>
  <si>
    <t>Lamb Crop Percentage</t>
  </si>
  <si>
    <t>Ewe Replacement Percentage</t>
  </si>
  <si>
    <t>Cull Ewes</t>
  </si>
  <si>
    <t>Total per Year per Ewe</t>
  </si>
  <si>
    <t>Lbs.</t>
  </si>
  <si>
    <t>Shearing</t>
  </si>
  <si>
    <t>Other Variable Costs</t>
  </si>
  <si>
    <t>Other Fixed Costs</t>
  </si>
  <si>
    <t xml:space="preserve">Per Ewe Feed Requirements </t>
  </si>
  <si>
    <t xml:space="preserve">Ewe Feed Requirements </t>
  </si>
  <si>
    <t xml:space="preserve"> KSU Ewe Once-a-Year Lambing Budget</t>
  </si>
  <si>
    <t>Grain Sorghum</t>
  </si>
  <si>
    <t>(per ewe unit: ewes, rams, retained/replaced ewes, and lambs)</t>
  </si>
  <si>
    <t>lbs.</t>
  </si>
  <si>
    <t>(ewe, ram, retained/replaced ewes, lamb)</t>
  </si>
  <si>
    <t>Publication: AM-FMG-Once-a-Year Lambing</t>
  </si>
  <si>
    <t xml:space="preserve"> KSU Once-a-Year Lambing Budget</t>
  </si>
  <si>
    <t>Depreciation - Buildings/Equipment</t>
  </si>
  <si>
    <t>Depreciation - Livestock</t>
  </si>
  <si>
    <t>Taxes/Insurance - Farm &amp; Livestock</t>
  </si>
  <si>
    <t>Interest - Buildings/Equipment &amp; Livestock</t>
  </si>
  <si>
    <t>X</t>
  </si>
  <si>
    <t>Replacement Ewe</t>
  </si>
  <si>
    <t>hd</t>
  </si>
  <si>
    <t>Slaughter Lambs</t>
  </si>
  <si>
    <t>KSU-Sheep Farm Management Guide Budgets</t>
  </si>
  <si>
    <t>Excel spreadsheet for sheep enterprise budgeting to evaluate potential income, costs and profitability</t>
  </si>
  <si>
    <t>INTRODUCTION</t>
  </si>
  <si>
    <t>The Kansas State University cost-return budgets were developed to serve as a barometer of profitability for various livestock industry enterprises.  These budgets are NOT intended to represent any one operation.  Each individual operation should adjust key inputs to reflect their own situation.</t>
  </si>
  <si>
    <t>INSTRUCTIONS FOR THE USER:</t>
  </si>
  <si>
    <r>
      <t xml:space="preserve">Be sure to </t>
    </r>
    <r>
      <rPr>
        <b/>
        <sz val="12"/>
        <rFont val="Calibri"/>
        <family val="2"/>
        <scheme val="minor"/>
      </rPr>
      <t xml:space="preserve">"Enable Content" </t>
    </r>
    <r>
      <rPr>
        <sz val="12"/>
        <rFont val="Calibri"/>
        <family val="2"/>
        <scheme val="minor"/>
      </rPr>
      <t xml:space="preserve">and </t>
    </r>
    <r>
      <rPr>
        <b/>
        <sz val="12"/>
        <rFont val="Calibri"/>
        <family val="2"/>
        <scheme val="minor"/>
      </rPr>
      <t>"Enable Macros"</t>
    </r>
    <r>
      <rPr>
        <sz val="12"/>
        <rFont val="Calibri"/>
        <family val="2"/>
        <scheme val="minor"/>
      </rPr>
      <t xml:space="preserve"> for the spreadsheet to function correctly.  </t>
    </r>
    <r>
      <rPr>
        <b/>
        <sz val="12"/>
        <color rgb="FF0070C0"/>
        <rFont val="Calibri"/>
        <family val="2"/>
        <scheme val="minor"/>
      </rPr>
      <t>Blue</t>
    </r>
    <r>
      <rPr>
        <sz val="12"/>
        <rFont val="Calibri"/>
        <family val="2"/>
        <scheme val="minor"/>
      </rPr>
      <t xml:space="preserve"> values are inputs that should be changed from the defaults to match your operation.  Black values are automatically calculated.</t>
    </r>
  </si>
  <si>
    <t>FOR MORE INFORMATION:</t>
  </si>
  <si>
    <t>Developed by:</t>
  </si>
  <si>
    <t>Dustin L. Pendell, Ph.D.</t>
  </si>
  <si>
    <t>Robin Reid</t>
  </si>
  <si>
    <t>Agricultural Economist</t>
  </si>
  <si>
    <t>Extension Associate</t>
  </si>
  <si>
    <t>Department of Agricultural Economics</t>
  </si>
  <si>
    <t>Kansas State University</t>
  </si>
  <si>
    <t>dpendell@k-state.edu</t>
  </si>
  <si>
    <t>robinreid@ksu.edu</t>
  </si>
  <si>
    <t>785-532-3525</t>
  </si>
  <si>
    <t>785-532-0964</t>
  </si>
  <si>
    <t>ACKNOWLEDGEMENTS:</t>
  </si>
  <si>
    <t>Prairie Hay</t>
  </si>
  <si>
    <t>Default Sheep Prices</t>
  </si>
  <si>
    <t>Protein Supplement ($/ton)</t>
  </si>
  <si>
    <t>Protein Supplement</t>
  </si>
  <si>
    <t>per head</t>
  </si>
  <si>
    <t>Ram Charge</t>
  </si>
  <si>
    <t>Version- 9.6.2016</t>
  </si>
  <si>
    <t>Grain Sorghum ($/cwt)</t>
  </si>
  <si>
    <t>Prairie Hay ($/ton)</t>
  </si>
  <si>
    <t>Sheep Mineral ($/lb)</t>
  </si>
  <si>
    <t>Sept. Slaughter Lamb Price ($/cwt)</t>
  </si>
  <si>
    <t>Current Cull Ewe Price ($/cwt)</t>
  </si>
  <si>
    <t>(as of Sept 1st, 2016)</t>
  </si>
  <si>
    <t>The authors would like to thank DeWayne Craghead, Hodgeman County Extension Agent, for assistance in developing this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</si>
</sst>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_(&quot;$&quot;* \(#,##0.00\);_(&quot;$&quot;* &quot;-&quot;??_);_(@_)"/>
    <numFmt numFmtId="43" formatCode="_(* #,##0.00_);_(* \(#,##0.00\);_(* &quot;-&quot;??_);_(@_)"/>
    <numFmt numFmtId="164" formatCode="0.0"/>
    <numFmt numFmtId="165" formatCode="0.0%"/>
    <numFmt numFmtId="166" formatCode="0.000"/>
    <numFmt numFmtId="167" formatCode="mm/dd/yy;@"/>
    <numFmt numFmtId="168" formatCode="&quot;$&quot;#,##0.00"/>
    <numFmt numFmtId="169" formatCode="_(* #,##0.0_);_(* \(#,##0.0\);_(* &quot;-&quot;??_);_(@_)"/>
    <numFmt numFmtId="170" formatCode="_(&quot;$&quot;* #,##0.000_);_(&quot;$&quot;* \(#,##0.000\);_(&quot;$&quot;* &quot;-&quot;??_);_(@_)"/>
  </numFmts>
  <fonts count="46"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color rgb="FF0070C0"/>
      <name val="Calibri"/>
      <family val="2"/>
      <scheme val="minor"/>
    </font>
    <font>
      <sz val="9"/>
      <color indexed="81"/>
      <name val="Tahoma"/>
      <family val="2"/>
    </font>
    <font>
      <b/>
      <sz val="9"/>
      <color indexed="81"/>
      <name val="Tahoma"/>
      <family val="2"/>
    </font>
    <font>
      <i/>
      <sz val="11"/>
      <color theme="1"/>
      <name val="Calibri"/>
      <family val="2"/>
      <scheme val="minor"/>
    </font>
    <font>
      <b/>
      <i/>
      <sz val="11"/>
      <color theme="1"/>
      <name val="Calibri"/>
      <family val="2"/>
      <scheme val="minor"/>
    </font>
    <font>
      <b/>
      <u/>
      <sz val="11"/>
      <color theme="1"/>
      <name val="Calibri"/>
      <family val="2"/>
      <scheme val="minor"/>
    </font>
    <font>
      <b/>
      <sz val="11"/>
      <color rgb="FFFF0000"/>
      <name val="Calibri"/>
      <family val="2"/>
      <scheme val="minor"/>
    </font>
    <font>
      <b/>
      <i/>
      <sz val="11"/>
      <color rgb="FF7030A0"/>
      <name val="Calibri"/>
      <family val="2"/>
      <scheme val="minor"/>
    </font>
    <font>
      <b/>
      <sz val="11"/>
      <color rgb="FF7030A0"/>
      <name val="Calibri"/>
      <family val="2"/>
      <scheme val="minor"/>
    </font>
    <font>
      <b/>
      <sz val="14"/>
      <color rgb="FF7030A0"/>
      <name val="Calibri"/>
      <family val="2"/>
      <scheme val="minor"/>
    </font>
    <font>
      <u/>
      <sz val="11"/>
      <color theme="10"/>
      <name val="Calibri"/>
      <family val="2"/>
      <scheme val="minor"/>
    </font>
    <font>
      <b/>
      <sz val="11"/>
      <name val="Calibri"/>
      <family val="2"/>
      <scheme val="minor"/>
    </font>
    <font>
      <b/>
      <sz val="12"/>
      <color rgb="FF7030A0"/>
      <name val="Calibri"/>
      <family val="2"/>
      <scheme val="minor"/>
    </font>
    <font>
      <b/>
      <i/>
      <sz val="12"/>
      <color rgb="FF7030A0"/>
      <name val="Calibri"/>
      <family val="2"/>
      <scheme val="minor"/>
    </font>
    <font>
      <b/>
      <sz val="22"/>
      <color theme="1"/>
      <name val="Calibri"/>
      <family val="2"/>
      <scheme val="minor"/>
    </font>
    <font>
      <sz val="11"/>
      <color theme="0"/>
      <name val="Calibri"/>
      <family val="2"/>
      <scheme val="minor"/>
    </font>
    <font>
      <b/>
      <sz val="11"/>
      <color rgb="FF000000"/>
      <name val="Calibri"/>
      <family val="2"/>
    </font>
    <font>
      <sz val="11"/>
      <color rgb="FF0070C0"/>
      <name val="Calibri"/>
      <family val="2"/>
      <scheme val="minor"/>
    </font>
    <font>
      <sz val="11"/>
      <color rgb="FFFF0000"/>
      <name val="Calibri"/>
      <family val="2"/>
      <scheme val="minor"/>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sz val="12"/>
      <name val="Arial"/>
      <family val="2"/>
    </font>
    <font>
      <b/>
      <u/>
      <sz val="12"/>
      <name val="Calibri"/>
      <family val="2"/>
      <scheme val="minor"/>
    </font>
    <font>
      <sz val="12"/>
      <name val="Calibri"/>
      <family val="2"/>
      <scheme val="minor"/>
    </font>
    <font>
      <b/>
      <sz val="12"/>
      <name val="Calibri"/>
      <family val="2"/>
      <scheme val="minor"/>
    </font>
    <font>
      <b/>
      <sz val="12"/>
      <color rgb="FF0070C0"/>
      <name val="Calibri"/>
      <family val="2"/>
      <scheme val="minor"/>
    </font>
    <font>
      <u/>
      <sz val="10"/>
      <color indexed="12"/>
      <name val="Arial"/>
      <family val="2"/>
    </font>
    <font>
      <u/>
      <sz val="12"/>
      <color indexed="12"/>
      <name val="Calibri"/>
      <family val="2"/>
      <scheme val="minor"/>
    </font>
    <font>
      <sz val="10"/>
      <name val="Arial"/>
      <family val="2"/>
    </font>
  </fonts>
  <fills count="8">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92D050"/>
        <bgColor indexed="64"/>
      </patternFill>
    </fill>
    <fill>
      <patternFill patternType="solid">
        <fgColor theme="0" tint="-0.499984740745262"/>
        <bgColor indexed="64"/>
      </patternFill>
    </fill>
    <fill>
      <patternFill patternType="solid">
        <fgColor rgb="FF7030A0"/>
        <bgColor indexed="64"/>
      </patternFill>
    </fill>
  </fills>
  <borders count="16">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diagonal/>
    </border>
    <border>
      <left/>
      <right/>
      <top/>
      <bottom style="medium">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s>
  <cellStyleXfs count="7">
    <xf numFmtId="0" fontId="0" fillId="0" borderId="0"/>
    <xf numFmtId="44" fontId="1" fillId="0" borderId="0" applyFont="0" applyFill="0" applyBorder="0" applyAlignment="0" applyProtection="0"/>
    <xf numFmtId="0" fontId="14" fillId="0" borderId="0" applyNumberFormat="0" applyFill="0" applyBorder="0" applyAlignment="0" applyProtection="0"/>
    <xf numFmtId="43" fontId="1" fillId="0" borderId="0" applyFont="0" applyFill="0" applyBorder="0" applyAlignment="0" applyProtection="0"/>
    <xf numFmtId="0" fontId="43" fillId="0" borderId="0" applyNumberFormat="0" applyFill="0" applyBorder="0" applyAlignment="0" applyProtection="0">
      <alignment vertical="top"/>
      <protection locked="0"/>
    </xf>
    <xf numFmtId="0" fontId="45" fillId="0" borderId="0"/>
    <xf numFmtId="0" fontId="43" fillId="0" borderId="0" applyNumberFormat="0" applyFill="0" applyBorder="0" applyAlignment="0" applyProtection="0">
      <alignment vertical="top"/>
      <protection locked="0"/>
    </xf>
  </cellStyleXfs>
  <cellXfs count="236">
    <xf numFmtId="0" fontId="0" fillId="0" borderId="0" xfId="0"/>
    <xf numFmtId="44" fontId="4" fillId="0" borderId="0" xfId="1" applyFont="1" applyAlignment="1">
      <alignment horizontal="center"/>
    </xf>
    <xf numFmtId="0" fontId="2" fillId="0" borderId="0" xfId="0" applyFont="1"/>
    <xf numFmtId="164" fontId="4" fillId="0" borderId="0" xfId="0" applyNumberFormat="1" applyFont="1" applyAlignment="1">
      <alignment horizontal="center"/>
    </xf>
    <xf numFmtId="44" fontId="0" fillId="0" borderId="0" xfId="0" applyNumberFormat="1"/>
    <xf numFmtId="2" fontId="0" fillId="0" borderId="0" xfId="0" applyNumberFormat="1"/>
    <xf numFmtId="0" fontId="7" fillId="0" borderId="0" xfId="0" applyFont="1"/>
    <xf numFmtId="0" fontId="8" fillId="0" borderId="0" xfId="0" applyFont="1"/>
    <xf numFmtId="44" fontId="2" fillId="0" borderId="0" xfId="0" applyNumberFormat="1" applyFont="1"/>
    <xf numFmtId="0" fontId="9" fillId="0" borderId="0" xfId="0" applyFont="1"/>
    <xf numFmtId="0" fontId="0" fillId="0" borderId="0" xfId="0" applyAlignment="1">
      <alignment horizontal="center"/>
    </xf>
    <xf numFmtId="2" fontId="0" fillId="0" borderId="0" xfId="0" applyNumberFormat="1" applyAlignment="1">
      <alignment horizontal="center"/>
    </xf>
    <xf numFmtId="0" fontId="0" fillId="0" borderId="1" xfId="0" applyBorder="1"/>
    <xf numFmtId="0" fontId="0" fillId="0" borderId="1" xfId="0" applyBorder="1" applyAlignment="1">
      <alignment horizontal="center"/>
    </xf>
    <xf numFmtId="0" fontId="2" fillId="0" borderId="1" xfId="0" applyFont="1" applyBorder="1" applyAlignment="1">
      <alignment horizontal="center" vertical="center" wrapText="1"/>
    </xf>
    <xf numFmtId="44" fontId="2" fillId="0" borderId="1" xfId="0" applyNumberFormat="1" applyFont="1" applyBorder="1"/>
    <xf numFmtId="44" fontId="2" fillId="0" borderId="0" xfId="0" applyNumberFormat="1" applyFont="1" applyBorder="1"/>
    <xf numFmtId="0" fontId="8" fillId="0" borderId="1" xfId="0" applyFont="1" applyBorder="1"/>
    <xf numFmtId="0" fontId="11" fillId="0" borderId="0" xfId="0" applyFont="1" applyFill="1" applyAlignment="1">
      <alignment horizontal="right"/>
    </xf>
    <xf numFmtId="0" fontId="12" fillId="0" borderId="0" xfId="0" applyFont="1" applyFill="1"/>
    <xf numFmtId="0" fontId="0" fillId="0" borderId="0" xfId="0" applyFill="1"/>
    <xf numFmtId="0" fontId="0" fillId="0" borderId="0" xfId="0" applyFill="1" applyAlignment="1">
      <alignment horizontal="center"/>
    </xf>
    <xf numFmtId="44" fontId="2" fillId="0" borderId="2" xfId="0" applyNumberFormat="1" applyFont="1" applyBorder="1"/>
    <xf numFmtId="0" fontId="2" fillId="2" borderId="0" xfId="0" applyFont="1" applyFill="1"/>
    <xf numFmtId="0" fontId="0" fillId="3" borderId="0" xfId="0" applyFill="1"/>
    <xf numFmtId="0" fontId="2" fillId="3" borderId="0" xfId="0" applyFont="1" applyFill="1"/>
    <xf numFmtId="0" fontId="0" fillId="0" borderId="0" xfId="0" applyAlignment="1">
      <alignment horizontal="left"/>
    </xf>
    <xf numFmtId="2" fontId="4" fillId="0" borderId="0" xfId="0" applyNumberFormat="1" applyFont="1" applyAlignment="1">
      <alignment horizontal="center"/>
    </xf>
    <xf numFmtId="0" fontId="2" fillId="0" borderId="0" xfId="0" applyFont="1" applyBorder="1"/>
    <xf numFmtId="0" fontId="0" fillId="0" borderId="0" xfId="0" applyBorder="1"/>
    <xf numFmtId="0" fontId="0" fillId="0" borderId="0" xfId="0" applyBorder="1" applyAlignment="1">
      <alignment horizontal="center"/>
    </xf>
    <xf numFmtId="1" fontId="4" fillId="0" borderId="0" xfId="0" applyNumberFormat="1" applyFont="1" applyAlignment="1">
      <alignment horizontal="center"/>
    </xf>
    <xf numFmtId="0" fontId="16" fillId="2" borderId="1" xfId="0" applyFont="1" applyFill="1" applyBorder="1" applyAlignment="1">
      <alignment horizontal="left"/>
    </xf>
    <xf numFmtId="0" fontId="0" fillId="4" borderId="0" xfId="0" applyFill="1"/>
    <xf numFmtId="0" fontId="14" fillId="4" borderId="0" xfId="2" applyFill="1"/>
    <xf numFmtId="17" fontId="0" fillId="0" borderId="0" xfId="0" applyNumberFormat="1"/>
    <xf numFmtId="0" fontId="7" fillId="0" borderId="1" xfId="0" applyFont="1" applyBorder="1"/>
    <xf numFmtId="164" fontId="4" fillId="0" borderId="1" xfId="0" applyNumberFormat="1" applyFont="1" applyBorder="1" applyAlignment="1">
      <alignment horizontal="center"/>
    </xf>
    <xf numFmtId="2" fontId="0" fillId="0" borderId="1" xfId="0" applyNumberFormat="1" applyBorder="1"/>
    <xf numFmtId="2" fontId="0" fillId="0" borderId="1" xfId="0" applyNumberFormat="1" applyBorder="1" applyAlignment="1">
      <alignment horizontal="center"/>
    </xf>
    <xf numFmtId="0" fontId="0" fillId="0" borderId="0" xfId="0" applyAlignment="1">
      <alignment horizontal="center"/>
    </xf>
    <xf numFmtId="1" fontId="3" fillId="0" borderId="0" xfId="0" applyNumberFormat="1" applyFont="1" applyAlignment="1">
      <alignment horizontal="center"/>
    </xf>
    <xf numFmtId="0" fontId="4" fillId="0" borderId="0" xfId="0" applyFont="1"/>
    <xf numFmtId="0" fontId="0" fillId="0" borderId="0" xfId="0" applyAlignment="1">
      <alignment horizontal="right"/>
    </xf>
    <xf numFmtId="0" fontId="2" fillId="0" borderId="0" xfId="0" applyFont="1" applyBorder="1" applyAlignment="1">
      <alignment horizontal="center" vertical="center" wrapText="1"/>
    </xf>
    <xf numFmtId="164" fontId="3" fillId="0" borderId="0" xfId="0" applyNumberFormat="1" applyFont="1" applyAlignment="1">
      <alignment horizontal="center"/>
    </xf>
    <xf numFmtId="0" fontId="0" fillId="0" borderId="4" xfId="0" applyBorder="1"/>
    <xf numFmtId="0" fontId="2" fillId="5" borderId="4" xfId="0" applyFont="1" applyFill="1" applyBorder="1"/>
    <xf numFmtId="164" fontId="4" fillId="0" borderId="0" xfId="0" applyNumberFormat="1" applyFont="1"/>
    <xf numFmtId="1" fontId="0" fillId="0" borderId="0" xfId="0" applyNumberFormat="1"/>
    <xf numFmtId="0" fontId="0" fillId="0" borderId="0" xfId="0" applyFill="1" applyBorder="1"/>
    <xf numFmtId="0" fontId="0" fillId="0" borderId="1" xfId="0" applyFill="1" applyBorder="1"/>
    <xf numFmtId="0" fontId="0" fillId="0" borderId="3" xfId="0" applyBorder="1" applyAlignment="1">
      <alignment horizontal="center"/>
    </xf>
    <xf numFmtId="0" fontId="8" fillId="0" borderId="3" xfId="0" applyFont="1" applyBorder="1"/>
    <xf numFmtId="0" fontId="0" fillId="0" borderId="3" xfId="0" applyBorder="1"/>
    <xf numFmtId="44" fontId="2" fillId="0" borderId="3" xfId="0" applyNumberFormat="1" applyFont="1" applyBorder="1"/>
    <xf numFmtId="2" fontId="3" fillId="0" borderId="0" xfId="0" applyNumberFormat="1" applyFont="1" applyAlignment="1">
      <alignment horizontal="center"/>
    </xf>
    <xf numFmtId="0" fontId="2" fillId="0" borderId="5" xfId="0" applyFont="1" applyBorder="1"/>
    <xf numFmtId="44" fontId="0" fillId="0" borderId="0" xfId="0" applyNumberFormat="1" applyBorder="1"/>
    <xf numFmtId="0" fontId="2" fillId="0" borderId="5" xfId="0" applyFont="1" applyBorder="1" applyAlignment="1">
      <alignment horizontal="center" vertical="center" wrapText="1"/>
    </xf>
    <xf numFmtId="44" fontId="0" fillId="0" borderId="0" xfId="0" applyNumberFormat="1" applyBorder="1" applyAlignment="1">
      <alignment horizontal="center"/>
    </xf>
    <xf numFmtId="0" fontId="16" fillId="0" borderId="0" xfId="0" applyFont="1" applyFill="1" applyBorder="1" applyAlignment="1">
      <alignment horizontal="left"/>
    </xf>
    <xf numFmtId="0" fontId="16" fillId="0" borderId="0" xfId="0" applyFont="1"/>
    <xf numFmtId="44" fontId="0" fillId="0" borderId="0" xfId="0" applyNumberFormat="1" applyBorder="1" applyAlignment="1">
      <alignment horizontal="center"/>
    </xf>
    <xf numFmtId="0" fontId="0" fillId="0" borderId="0" xfId="0" applyBorder="1" applyAlignment="1">
      <alignment horizontal="center"/>
    </xf>
    <xf numFmtId="0" fontId="2" fillId="0" borderId="5" xfId="0" applyFont="1" applyBorder="1" applyAlignment="1">
      <alignment horizontal="center" vertical="center" wrapText="1"/>
    </xf>
    <xf numFmtId="0" fontId="0" fillId="0" borderId="0" xfId="0" applyAlignment="1">
      <alignment horizontal="center"/>
    </xf>
    <xf numFmtId="166" fontId="3" fillId="0" borderId="0" xfId="0" applyNumberFormat="1" applyFont="1" applyAlignment="1">
      <alignment horizontal="center"/>
    </xf>
    <xf numFmtId="166" fontId="4" fillId="0" borderId="0" xfId="0" applyNumberFormat="1" applyFont="1" applyAlignment="1">
      <alignment horizontal="center"/>
    </xf>
    <xf numFmtId="0" fontId="10" fillId="0" borderId="0" xfId="0" applyFont="1" applyFill="1"/>
    <xf numFmtId="0" fontId="19" fillId="6" borderId="0" xfId="0" applyFont="1" applyFill="1" applyAlignment="1"/>
    <xf numFmtId="0" fontId="19" fillId="6" borderId="0" xfId="0" applyFont="1" applyFill="1"/>
    <xf numFmtId="0" fontId="13" fillId="0" borderId="0" xfId="0" applyFont="1" applyFill="1" applyBorder="1" applyAlignment="1">
      <alignment horizontal="center" vertical="center" wrapText="1"/>
    </xf>
    <xf numFmtId="166" fontId="0" fillId="0" borderId="0" xfId="0" applyNumberFormat="1"/>
    <xf numFmtId="0" fontId="2" fillId="5" borderId="6" xfId="0" applyFont="1" applyFill="1" applyBorder="1"/>
    <xf numFmtId="0" fontId="0" fillId="0" borderId="7" xfId="0" applyBorder="1"/>
    <xf numFmtId="0" fontId="0" fillId="0" borderId="8" xfId="0" applyBorder="1"/>
    <xf numFmtId="0" fontId="2" fillId="0" borderId="9" xfId="0" applyFont="1" applyBorder="1"/>
    <xf numFmtId="0" fontId="0" fillId="0" borderId="10" xfId="0" applyBorder="1"/>
    <xf numFmtId="0" fontId="0" fillId="0" borderId="9" xfId="0" applyBorder="1"/>
    <xf numFmtId="0" fontId="7" fillId="0" borderId="0" xfId="0" applyFont="1" applyBorder="1"/>
    <xf numFmtId="0" fontId="0" fillId="0" borderId="9" xfId="0" applyBorder="1" applyAlignment="1">
      <alignment horizontal="right"/>
    </xf>
    <xf numFmtId="2" fontId="3" fillId="0" borderId="0" xfId="0" applyNumberFormat="1" applyFont="1" applyBorder="1" applyAlignment="1">
      <alignment horizontal="center"/>
    </xf>
    <xf numFmtId="0" fontId="0" fillId="0" borderId="11" xfId="0" applyBorder="1"/>
    <xf numFmtId="0" fontId="7" fillId="0" borderId="4" xfId="0" applyFont="1" applyBorder="1"/>
    <xf numFmtId="0" fontId="0" fillId="0" borderId="12" xfId="0" applyBorder="1"/>
    <xf numFmtId="0" fontId="0" fillId="0" borderId="13" xfId="0" applyBorder="1"/>
    <xf numFmtId="44" fontId="0" fillId="0" borderId="0" xfId="0" applyNumberFormat="1" applyFill="1"/>
    <xf numFmtId="0" fontId="3" fillId="4" borderId="0" xfId="0" applyFont="1" applyFill="1"/>
    <xf numFmtId="164" fontId="3" fillId="0" borderId="0" xfId="0" applyNumberFormat="1" applyFont="1" applyBorder="1" applyAlignment="1">
      <alignment horizontal="center"/>
    </xf>
    <xf numFmtId="0" fontId="2" fillId="5" borderId="14" xfId="0" applyFont="1" applyFill="1" applyBorder="1"/>
    <xf numFmtId="0" fontId="0" fillId="0" borderId="15" xfId="0" applyBorder="1"/>
    <xf numFmtId="0" fontId="15" fillId="2" borderId="0" xfId="0" applyFont="1" applyFill="1"/>
    <xf numFmtId="44" fontId="4" fillId="2" borderId="0" xfId="1" applyFont="1" applyFill="1" applyAlignment="1" applyProtection="1">
      <alignment horizontal="center"/>
      <protection locked="0"/>
    </xf>
    <xf numFmtId="44" fontId="4" fillId="3" borderId="0" xfId="1" applyFont="1" applyFill="1" applyAlignment="1" applyProtection="1">
      <alignment horizontal="center"/>
      <protection locked="0"/>
    </xf>
    <xf numFmtId="0" fontId="0" fillId="3" borderId="0" xfId="0" applyFill="1" applyProtection="1">
      <protection locked="0"/>
    </xf>
    <xf numFmtId="0" fontId="0" fillId="0" borderId="0" xfId="0" applyProtection="1">
      <protection locked="0"/>
    </xf>
    <xf numFmtId="44" fontId="4" fillId="0" borderId="0" xfId="1" applyFont="1" applyFill="1" applyAlignment="1" applyProtection="1">
      <alignment horizontal="center"/>
      <protection locked="0"/>
    </xf>
    <xf numFmtId="0" fontId="0" fillId="0" borderId="0" xfId="0" applyFill="1" applyProtection="1">
      <protection locked="0"/>
    </xf>
    <xf numFmtId="0" fontId="3" fillId="3" borderId="0" xfId="0" applyFont="1" applyFill="1" applyProtection="1">
      <protection locked="0"/>
    </xf>
    <xf numFmtId="0" fontId="21" fillId="3" borderId="0" xfId="0" applyFont="1" applyFill="1" applyProtection="1">
      <protection locked="0"/>
    </xf>
    <xf numFmtId="0" fontId="21" fillId="0" borderId="0" xfId="0" applyFont="1" applyProtection="1">
      <protection locked="0"/>
    </xf>
    <xf numFmtId="164" fontId="4" fillId="0" borderId="0" xfId="0" applyNumberFormat="1" applyFont="1" applyBorder="1" applyAlignment="1" applyProtection="1">
      <alignment horizontal="center"/>
      <protection locked="0"/>
    </xf>
    <xf numFmtId="2" fontId="4" fillId="0" borderId="0" xfId="0" applyNumberFormat="1" applyFont="1" applyBorder="1" applyAlignment="1" applyProtection="1">
      <alignment horizontal="center"/>
      <protection locked="0"/>
    </xf>
    <xf numFmtId="164" fontId="4" fillId="0" borderId="4" xfId="0" applyNumberFormat="1" applyFont="1" applyBorder="1" applyAlignment="1" applyProtection="1">
      <alignment horizontal="center"/>
      <protection locked="0"/>
    </xf>
    <xf numFmtId="166" fontId="4" fillId="0" borderId="4" xfId="0" applyNumberFormat="1" applyFont="1" applyBorder="1" applyAlignment="1" applyProtection="1">
      <alignment horizontal="center"/>
      <protection locked="0"/>
    </xf>
    <xf numFmtId="2" fontId="4" fillId="0" borderId="4" xfId="0" applyNumberFormat="1" applyFont="1" applyBorder="1" applyAlignment="1" applyProtection="1">
      <alignment horizontal="center"/>
      <protection locked="0"/>
    </xf>
    <xf numFmtId="166" fontId="4" fillId="0" borderId="0" xfId="0" applyNumberFormat="1" applyFont="1" applyBorder="1" applyAlignment="1" applyProtection="1">
      <alignment horizontal="center"/>
      <protection locked="0"/>
    </xf>
    <xf numFmtId="165" fontId="4" fillId="0" borderId="0" xfId="0" applyNumberFormat="1" applyFont="1" applyAlignment="1" applyProtection="1">
      <alignment horizontal="center"/>
      <protection locked="0"/>
    </xf>
    <xf numFmtId="44" fontId="4" fillId="0" borderId="0" xfId="1" applyFont="1" applyAlignment="1" applyProtection="1">
      <alignment horizontal="center"/>
      <protection locked="0"/>
    </xf>
    <xf numFmtId="1" fontId="4" fillId="0" borderId="0" xfId="0" applyNumberFormat="1" applyFont="1" applyAlignment="1" applyProtection="1">
      <alignment horizontal="center"/>
      <protection locked="0"/>
    </xf>
    <xf numFmtId="164" fontId="4" fillId="0" borderId="0" xfId="0" applyNumberFormat="1" applyFont="1" applyAlignment="1" applyProtection="1">
      <alignment horizontal="center"/>
      <protection locked="0"/>
    </xf>
    <xf numFmtId="44" fontId="4" fillId="0" borderId="1" xfId="1" applyFont="1" applyBorder="1" applyAlignment="1" applyProtection="1">
      <alignment horizontal="center"/>
      <protection locked="0"/>
    </xf>
    <xf numFmtId="44" fontId="4" fillId="0" borderId="0" xfId="1" applyFont="1" applyBorder="1" applyAlignment="1" applyProtection="1">
      <alignment horizontal="center"/>
      <protection locked="0"/>
    </xf>
    <xf numFmtId="2" fontId="4" fillId="0" borderId="0" xfId="0" applyNumberFormat="1" applyFont="1" applyProtection="1">
      <protection locked="0"/>
    </xf>
    <xf numFmtId="164" fontId="4" fillId="0" borderId="0" xfId="0" applyNumberFormat="1" applyFont="1" applyProtection="1">
      <protection locked="0"/>
    </xf>
    <xf numFmtId="0" fontId="0" fillId="0" borderId="0" xfId="0" applyAlignment="1">
      <alignment horizontal="center"/>
    </xf>
    <xf numFmtId="0" fontId="0" fillId="0" borderId="0" xfId="0" applyAlignment="1">
      <alignment horizontal="center"/>
    </xf>
    <xf numFmtId="44" fontId="3" fillId="0" borderId="0" xfId="1" applyFont="1" applyAlignment="1" applyProtection="1">
      <alignment horizontal="center"/>
    </xf>
    <xf numFmtId="1" fontId="3" fillId="0" borderId="0" xfId="0" applyNumberFormat="1" applyFont="1" applyAlignment="1" applyProtection="1">
      <alignment horizontal="center"/>
    </xf>
    <xf numFmtId="44" fontId="4" fillId="0" borderId="0" xfId="0" applyNumberFormat="1" applyFont="1" applyFill="1" applyProtection="1">
      <protection locked="0"/>
    </xf>
    <xf numFmtId="44" fontId="4" fillId="0" borderId="1" xfId="0" applyNumberFormat="1" applyFont="1" applyFill="1" applyBorder="1" applyProtection="1">
      <protection locked="0"/>
    </xf>
    <xf numFmtId="44" fontId="3" fillId="0" borderId="0" xfId="0" applyNumberFormat="1" applyFont="1" applyProtection="1"/>
    <xf numFmtId="0" fontId="22" fillId="0" borderId="0" xfId="0" applyFont="1" applyFill="1" applyProtection="1">
      <protection locked="0"/>
    </xf>
    <xf numFmtId="44" fontId="10" fillId="0" borderId="0" xfId="1" applyFont="1" applyFill="1" applyAlignment="1" applyProtection="1">
      <alignment horizontal="center"/>
      <protection locked="0"/>
    </xf>
    <xf numFmtId="0" fontId="0" fillId="0" borderId="0" xfId="0" applyBorder="1" applyAlignment="1">
      <alignment horizontal="center"/>
    </xf>
    <xf numFmtId="0" fontId="0" fillId="0" borderId="0" xfId="0" applyAlignment="1">
      <alignment horizontal="center"/>
    </xf>
    <xf numFmtId="0" fontId="0" fillId="0" borderId="0" xfId="0" applyBorder="1" applyAlignment="1">
      <alignment horizontal="center"/>
    </xf>
    <xf numFmtId="0" fontId="0" fillId="0" borderId="0" xfId="0" applyAlignment="1">
      <alignment horizontal="center"/>
    </xf>
    <xf numFmtId="0" fontId="0" fillId="0" borderId="0" xfId="0" applyAlignment="1">
      <alignment horizontal="right"/>
    </xf>
    <xf numFmtId="0" fontId="0" fillId="0" borderId="0" xfId="0" applyFont="1" applyBorder="1" applyAlignment="1">
      <alignment horizontal="left" vertical="center" wrapText="1"/>
    </xf>
    <xf numFmtId="0" fontId="0" fillId="0" borderId="0" xfId="0" applyBorder="1" applyAlignment="1">
      <alignment horizontal="center"/>
    </xf>
    <xf numFmtId="0" fontId="0" fillId="0" borderId="0" xfId="0" applyAlignment="1">
      <alignment horizontal="center"/>
    </xf>
    <xf numFmtId="0" fontId="0" fillId="0" borderId="0" xfId="0" applyAlignment="1">
      <alignment horizontal="right"/>
    </xf>
    <xf numFmtId="169" fontId="3" fillId="0" borderId="0" xfId="3" applyNumberFormat="1" applyFont="1" applyBorder="1" applyAlignment="1">
      <alignment horizontal="center"/>
    </xf>
    <xf numFmtId="168" fontId="0" fillId="0" borderId="0" xfId="0" applyNumberFormat="1" applyBorder="1" applyAlignment="1">
      <alignment horizontal="center"/>
    </xf>
    <xf numFmtId="168" fontId="0" fillId="0" borderId="1" xfId="0" applyNumberFormat="1" applyBorder="1" applyAlignment="1">
      <alignment horizontal="center"/>
    </xf>
    <xf numFmtId="4" fontId="3" fillId="0" borderId="0" xfId="3" applyNumberFormat="1" applyFont="1" applyAlignment="1">
      <alignment horizontal="right"/>
    </xf>
    <xf numFmtId="0" fontId="7" fillId="0" borderId="0" xfId="0" applyFont="1" applyFill="1" applyBorder="1"/>
    <xf numFmtId="44" fontId="0" fillId="0" borderId="0" xfId="1" applyFont="1" applyBorder="1" applyAlignment="1">
      <alignment horizontal="center"/>
    </xf>
    <xf numFmtId="44" fontId="0" fillId="0" borderId="0" xfId="1" applyFont="1" applyAlignment="1">
      <alignment horizontal="right"/>
    </xf>
    <xf numFmtId="44" fontId="4" fillId="0" borderId="0" xfId="1" applyFont="1" applyAlignment="1" applyProtection="1">
      <alignment horizontal="right"/>
      <protection locked="0"/>
    </xf>
    <xf numFmtId="44" fontId="4" fillId="0" borderId="1" xfId="1" applyFont="1" applyBorder="1" applyAlignment="1" applyProtection="1">
      <alignment horizontal="right"/>
      <protection locked="0"/>
    </xf>
    <xf numFmtId="44" fontId="4" fillId="0" borderId="0" xfId="1" applyFont="1" applyBorder="1" applyAlignment="1" applyProtection="1">
      <alignment horizontal="right"/>
      <protection locked="0"/>
    </xf>
    <xf numFmtId="44" fontId="4" fillId="0" borderId="0" xfId="1" applyFont="1" applyAlignment="1">
      <alignment horizontal="right"/>
    </xf>
    <xf numFmtId="44" fontId="2" fillId="0" borderId="1" xfId="1" applyFont="1" applyBorder="1" applyAlignment="1">
      <alignment horizontal="right"/>
    </xf>
    <xf numFmtId="0" fontId="0" fillId="0" borderId="1" xfId="0" applyBorder="1" applyAlignment="1">
      <alignment horizontal="right"/>
    </xf>
    <xf numFmtId="44" fontId="2" fillId="0" borderId="0" xfId="1" applyFont="1" applyAlignment="1">
      <alignment horizontal="right"/>
    </xf>
    <xf numFmtId="44" fontId="2" fillId="0" borderId="0" xfId="0" applyNumberFormat="1" applyFont="1" applyAlignment="1">
      <alignment horizontal="right"/>
    </xf>
    <xf numFmtId="44" fontId="2" fillId="0" borderId="0" xfId="1" applyFont="1" applyBorder="1" applyAlignment="1">
      <alignment horizontal="right"/>
    </xf>
    <xf numFmtId="44" fontId="2" fillId="0" borderId="2" xfId="1" applyFont="1" applyBorder="1" applyAlignment="1">
      <alignment horizontal="right"/>
    </xf>
    <xf numFmtId="0" fontId="0" fillId="0" borderId="0" xfId="0" applyBorder="1" applyAlignment="1">
      <alignment horizontal="center"/>
    </xf>
    <xf numFmtId="0" fontId="0" fillId="0" borderId="0" xfId="0" applyFont="1" applyFill="1" applyBorder="1" applyAlignment="1">
      <alignment horizontal="left" vertical="center" wrapText="1"/>
    </xf>
    <xf numFmtId="2" fontId="3" fillId="0" borderId="0" xfId="0" applyNumberFormat="1" applyFont="1" applyAlignment="1" applyProtection="1">
      <alignment horizontal="center"/>
      <protection locked="0"/>
    </xf>
    <xf numFmtId="0" fontId="0" fillId="0" borderId="0" xfId="0" applyAlignment="1">
      <alignment horizontal="center"/>
    </xf>
    <xf numFmtId="170" fontId="4" fillId="2" borderId="0" xfId="1" applyNumberFormat="1" applyFont="1" applyFill="1" applyAlignment="1" applyProtection="1">
      <alignment horizontal="center"/>
      <protection locked="0"/>
    </xf>
    <xf numFmtId="170" fontId="4" fillId="3" borderId="0" xfId="1" applyNumberFormat="1" applyFont="1" applyFill="1" applyAlignment="1" applyProtection="1">
      <alignment horizontal="center"/>
      <protection locked="0"/>
    </xf>
    <xf numFmtId="0" fontId="40" fillId="0" borderId="0" xfId="4" applyFont="1" applyFill="1" applyAlignment="1" applyProtection="1"/>
    <xf numFmtId="0" fontId="45" fillId="0" borderId="0" xfId="5" applyProtection="1"/>
    <xf numFmtId="0" fontId="23" fillId="7" borderId="14" xfId="5" applyFont="1" applyFill="1" applyBorder="1" applyProtection="1"/>
    <xf numFmtId="0" fontId="23" fillId="7" borderId="15" xfId="5" applyFont="1" applyFill="1" applyBorder="1" applyProtection="1"/>
    <xf numFmtId="0" fontId="23" fillId="7" borderId="13" xfId="5" applyFont="1" applyFill="1" applyBorder="1" applyProtection="1"/>
    <xf numFmtId="0" fontId="24" fillId="7" borderId="9" xfId="5" applyFont="1" applyFill="1" applyBorder="1" applyAlignment="1" applyProtection="1"/>
    <xf numFmtId="0" fontId="25" fillId="7" borderId="0" xfId="5" applyFont="1" applyFill="1" applyAlignment="1" applyProtection="1"/>
    <xf numFmtId="0" fontId="26" fillId="7" borderId="0" xfId="5" applyFont="1" applyFill="1" applyBorder="1" applyProtection="1"/>
    <xf numFmtId="0" fontId="23" fillId="7" borderId="0" xfId="5" applyFont="1" applyFill="1" applyBorder="1" applyProtection="1"/>
    <xf numFmtId="0" fontId="23" fillId="7" borderId="10" xfId="5" applyFont="1" applyFill="1" applyBorder="1" applyProtection="1"/>
    <xf numFmtId="0" fontId="26" fillId="7" borderId="9" xfId="5" applyFont="1" applyFill="1" applyBorder="1" applyProtection="1"/>
    <xf numFmtId="0" fontId="27" fillId="7" borderId="0" xfId="5" applyFont="1" applyFill="1" applyBorder="1" applyAlignment="1" applyProtection="1">
      <alignment horizontal="left"/>
    </xf>
    <xf numFmtId="0" fontId="28" fillId="7" borderId="0" xfId="5" applyFont="1" applyFill="1" applyAlignment="1" applyProtection="1">
      <alignment horizontal="left"/>
    </xf>
    <xf numFmtId="0" fontId="29" fillId="7" borderId="0" xfId="5" applyFont="1" applyFill="1" applyAlignment="1" applyProtection="1"/>
    <xf numFmtId="0" fontId="23" fillId="7" borderId="9" xfId="5" applyFont="1" applyFill="1" applyBorder="1" applyAlignment="1" applyProtection="1">
      <alignment horizontal="center"/>
    </xf>
    <xf numFmtId="0" fontId="33" fillId="7" borderId="0" xfId="5" applyFont="1" applyFill="1" applyAlignment="1" applyProtection="1">
      <alignment wrapText="1"/>
    </xf>
    <xf numFmtId="0" fontId="34" fillId="7" borderId="0" xfId="5" applyFont="1" applyFill="1" applyBorder="1" applyProtection="1"/>
    <xf numFmtId="0" fontId="35" fillId="7" borderId="10" xfId="5" applyFont="1" applyFill="1" applyBorder="1" applyProtection="1"/>
    <xf numFmtId="0" fontId="23" fillId="7" borderId="11" xfId="5" applyFont="1" applyFill="1" applyBorder="1" applyProtection="1"/>
    <xf numFmtId="0" fontId="23" fillId="7" borderId="4" xfId="5" applyFont="1" applyFill="1" applyBorder="1" applyProtection="1"/>
    <xf numFmtId="0" fontId="34" fillId="7" borderId="4" xfId="5" applyFont="1" applyFill="1" applyBorder="1" applyProtection="1"/>
    <xf numFmtId="0" fontId="36" fillId="7" borderId="12" xfId="5" applyFont="1" applyFill="1" applyBorder="1" applyAlignment="1" applyProtection="1">
      <alignment horizontal="right"/>
    </xf>
    <xf numFmtId="0" fontId="38" fillId="0" borderId="0" xfId="5" applyFont="1" applyProtection="1"/>
    <xf numFmtId="0" fontId="38" fillId="0" borderId="0" xfId="5" applyFont="1" applyFill="1" applyBorder="1" applyProtection="1"/>
    <xf numFmtId="0" fontId="39" fillId="0" borderId="0" xfId="5" applyFont="1" applyAlignment="1" applyProtection="1"/>
    <xf numFmtId="0" fontId="40" fillId="0" borderId="0" xfId="5" applyFont="1" applyAlignment="1" applyProtection="1"/>
    <xf numFmtId="0" fontId="40" fillId="0" borderId="0" xfId="5" applyFont="1" applyProtection="1"/>
    <xf numFmtId="0" fontId="41" fillId="0" borderId="0" xfId="5" applyFont="1" applyProtection="1"/>
    <xf numFmtId="0" fontId="41" fillId="0" borderId="0" xfId="5" applyFont="1" applyFill="1" applyProtection="1"/>
    <xf numFmtId="0" fontId="41" fillId="0" borderId="0" xfId="5" applyFont="1" applyAlignment="1" applyProtection="1">
      <alignment vertical="center" wrapText="1"/>
    </xf>
    <xf numFmtId="0" fontId="40" fillId="0" borderId="0" xfId="5" applyFont="1" applyAlignment="1" applyProtection="1">
      <alignment wrapText="1"/>
    </xf>
    <xf numFmtId="0" fontId="39" fillId="0" borderId="0" xfId="5" applyFont="1" applyProtection="1"/>
    <xf numFmtId="0" fontId="40" fillId="0" borderId="0" xfId="5" applyFont="1" applyAlignment="1" applyProtection="1">
      <alignment horizontal="center"/>
    </xf>
    <xf numFmtId="0" fontId="40" fillId="0" borderId="0" xfId="5" applyFont="1" applyFill="1" applyAlignment="1" applyProtection="1"/>
    <xf numFmtId="0" fontId="41" fillId="0" borderId="0" xfId="5" applyFont="1" applyAlignment="1" applyProtection="1">
      <alignment horizontal="left" wrapText="1"/>
    </xf>
    <xf numFmtId="0" fontId="4" fillId="0" borderId="0" xfId="0" applyFont="1" applyAlignment="1" applyProtection="1">
      <alignment horizontal="center"/>
      <protection locked="0"/>
    </xf>
    <xf numFmtId="44" fontId="0" fillId="0" borderId="0" xfId="1" applyFont="1" applyBorder="1" applyAlignment="1" applyProtection="1">
      <alignment horizontal="center"/>
      <protection locked="0"/>
    </xf>
    <xf numFmtId="44" fontId="1" fillId="0" borderId="0" xfId="1" applyFont="1" applyAlignment="1" applyProtection="1">
      <alignment horizontal="center"/>
      <protection locked="0"/>
    </xf>
    <xf numFmtId="44" fontId="1" fillId="0" borderId="0" xfId="1" applyFont="1" applyFill="1" applyAlignment="1" applyProtection="1">
      <alignment horizontal="center"/>
      <protection locked="0"/>
    </xf>
    <xf numFmtId="164" fontId="0" fillId="0" borderId="0" xfId="0" applyNumberFormat="1" applyBorder="1" applyAlignment="1" applyProtection="1">
      <alignment horizontal="center"/>
      <protection locked="0"/>
    </xf>
    <xf numFmtId="44" fontId="0" fillId="0" borderId="0" xfId="1" applyFont="1" applyBorder="1" applyAlignment="1" applyProtection="1">
      <alignment horizontal="right"/>
      <protection locked="0"/>
    </xf>
    <xf numFmtId="44" fontId="0" fillId="0" borderId="0" xfId="1" applyNumberFormat="1" applyFont="1" applyBorder="1" applyAlignment="1" applyProtection="1">
      <alignment horizontal="right"/>
      <protection locked="0"/>
    </xf>
    <xf numFmtId="44" fontId="0" fillId="0" borderId="0" xfId="1" applyFont="1" applyAlignment="1" applyProtection="1">
      <alignment horizontal="right"/>
      <protection locked="0"/>
    </xf>
    <xf numFmtId="0" fontId="40" fillId="0" borderId="0" xfId="5" applyFont="1" applyAlignment="1" applyProtection="1">
      <alignment horizontal="left" vertical="top" wrapText="1"/>
    </xf>
    <xf numFmtId="0" fontId="26" fillId="7" borderId="9" xfId="5" applyFont="1" applyFill="1" applyBorder="1" applyAlignment="1" applyProtection="1">
      <alignment horizontal="left" wrapText="1"/>
    </xf>
    <xf numFmtId="0" fontId="30" fillId="7" borderId="0" xfId="5" applyFont="1" applyFill="1" applyAlignment="1" applyProtection="1">
      <alignment wrapText="1"/>
    </xf>
    <xf numFmtId="0" fontId="30" fillId="7" borderId="9" xfId="5" applyFont="1" applyFill="1" applyBorder="1" applyAlignment="1" applyProtection="1">
      <alignment wrapText="1"/>
    </xf>
    <xf numFmtId="0" fontId="31" fillId="0" borderId="0" xfId="5" applyFont="1" applyAlignment="1" applyProtection="1">
      <alignment wrapText="1"/>
    </xf>
    <xf numFmtId="0" fontId="32" fillId="0" borderId="0" xfId="5" applyFont="1" applyAlignment="1" applyProtection="1">
      <alignment wrapText="1"/>
    </xf>
    <xf numFmtId="0" fontId="36" fillId="7" borderId="4" xfId="5" applyFont="1" applyFill="1" applyBorder="1" applyAlignment="1" applyProtection="1">
      <alignment horizontal="right"/>
    </xf>
    <xf numFmtId="0" fontId="33" fillId="7" borderId="4" xfId="5" applyFont="1" applyFill="1" applyBorder="1" applyAlignment="1" applyProtection="1">
      <alignment horizontal="right"/>
    </xf>
    <xf numFmtId="14" fontId="36" fillId="7" borderId="4" xfId="5" applyNumberFormat="1" applyFont="1" applyFill="1" applyBorder="1" applyAlignment="1" applyProtection="1">
      <alignment horizontal="left"/>
    </xf>
    <xf numFmtId="0" fontId="33" fillId="7" borderId="4" xfId="5" applyFont="1" applyFill="1" applyBorder="1" applyAlignment="1" applyProtection="1">
      <alignment horizontal="left"/>
    </xf>
    <xf numFmtId="0" fontId="37" fillId="0" borderId="0" xfId="5" applyFont="1" applyProtection="1"/>
    <xf numFmtId="0" fontId="39" fillId="0" borderId="0" xfId="5" applyFont="1" applyAlignment="1" applyProtection="1"/>
    <xf numFmtId="0" fontId="40" fillId="0" borderId="0" xfId="5" applyFont="1" applyAlignment="1" applyProtection="1"/>
    <xf numFmtId="0" fontId="40" fillId="0" borderId="0" xfId="5" applyFont="1" applyAlignment="1" applyProtection="1">
      <alignment horizontal="left" wrapText="1"/>
    </xf>
    <xf numFmtId="0" fontId="40" fillId="0" borderId="0" xfId="5" applyFont="1" applyAlignment="1" applyProtection="1">
      <alignment horizontal="left" vertical="center" wrapText="1"/>
    </xf>
    <xf numFmtId="0" fontId="44" fillId="0" borderId="0" xfId="6" applyFont="1" applyAlignment="1" applyProtection="1"/>
    <xf numFmtId="0" fontId="18" fillId="0" borderId="0" xfId="0" applyFont="1" applyAlignment="1">
      <alignment horizontal="center"/>
    </xf>
    <xf numFmtId="0" fontId="16" fillId="2" borderId="1" xfId="0" applyFont="1" applyFill="1" applyBorder="1" applyAlignment="1">
      <alignment horizontal="center"/>
    </xf>
    <xf numFmtId="44" fontId="0" fillId="0" borderId="0" xfId="0" applyNumberFormat="1" applyBorder="1" applyAlignment="1">
      <alignment horizontal="center"/>
    </xf>
    <xf numFmtId="0" fontId="13" fillId="2" borderId="4" xfId="0" applyFont="1" applyFill="1" applyBorder="1" applyAlignment="1">
      <alignment horizontal="left" vertical="center" wrapText="1"/>
    </xf>
    <xf numFmtId="0" fontId="0" fillId="0" borderId="4" xfId="0" applyBorder="1" applyAlignment="1">
      <alignment horizontal="left" vertical="center" wrapText="1"/>
    </xf>
    <xf numFmtId="0" fontId="13" fillId="2" borderId="4" xfId="0" applyFont="1" applyFill="1" applyBorder="1" applyAlignment="1">
      <alignment horizontal="right"/>
    </xf>
    <xf numFmtId="0" fontId="13" fillId="2" borderId="4" xfId="0" applyFont="1" applyFill="1" applyBorder="1" applyAlignment="1">
      <alignment horizontal="center"/>
    </xf>
    <xf numFmtId="0" fontId="2" fillId="0" borderId="5" xfId="0" applyFont="1" applyBorder="1" applyAlignment="1">
      <alignment horizontal="center" vertical="center" wrapText="1"/>
    </xf>
    <xf numFmtId="0" fontId="16" fillId="2" borderId="3" xfId="0" applyFont="1" applyFill="1" applyBorder="1" applyAlignment="1">
      <alignment horizontal="left" vertical="center" wrapText="1"/>
    </xf>
    <xf numFmtId="44" fontId="0" fillId="0" borderId="3" xfId="0" applyNumberFormat="1" applyBorder="1" applyAlignment="1">
      <alignment horizontal="center"/>
    </xf>
    <xf numFmtId="0" fontId="13" fillId="2" borderId="1" xfId="0" applyFont="1" applyFill="1" applyBorder="1" applyAlignment="1">
      <alignment horizontal="left" vertical="center" wrapText="1"/>
    </xf>
    <xf numFmtId="0" fontId="0" fillId="0" borderId="1" xfId="0" applyBorder="1" applyAlignment="1">
      <alignment horizontal="left" vertical="center" wrapText="1"/>
    </xf>
    <xf numFmtId="0" fontId="13" fillId="2" borderId="1" xfId="0" applyFont="1" applyFill="1" applyBorder="1" applyAlignment="1" applyProtection="1">
      <alignment horizontal="right" vertical="center" wrapText="1"/>
      <protection locked="0"/>
    </xf>
    <xf numFmtId="167" fontId="13" fillId="2" borderId="1" xfId="0" applyNumberFormat="1" applyFont="1" applyFill="1" applyBorder="1" applyAlignment="1">
      <alignment horizontal="center" vertical="center" wrapText="1"/>
    </xf>
    <xf numFmtId="0" fontId="0" fillId="0" borderId="0" xfId="0" applyAlignment="1">
      <alignment horizontal="center"/>
    </xf>
    <xf numFmtId="0" fontId="13" fillId="2" borderId="1" xfId="0" applyFont="1" applyFill="1" applyBorder="1" applyAlignment="1">
      <alignment horizontal="center" vertical="center" wrapText="1"/>
    </xf>
    <xf numFmtId="0" fontId="0" fillId="0" borderId="3" xfId="0" applyBorder="1" applyAlignment="1">
      <alignment horizontal="left"/>
    </xf>
    <xf numFmtId="0" fontId="2" fillId="0" borderId="5" xfId="0" applyFont="1" applyBorder="1" applyAlignment="1">
      <alignment horizontal="center" vertical="center"/>
    </xf>
    <xf numFmtId="0" fontId="0" fillId="0" borderId="0" xfId="0" applyBorder="1" applyAlignment="1">
      <alignment horizontal="center"/>
    </xf>
    <xf numFmtId="0" fontId="0" fillId="0" borderId="0" xfId="0" applyAlignment="1">
      <alignment horizontal="right"/>
    </xf>
  </cellXfs>
  <cellStyles count="7">
    <cellStyle name="Comma" xfId="3" builtinId="3"/>
    <cellStyle name="Currency" xfId="1" builtinId="4"/>
    <cellStyle name="Hyperlink" xfId="2" builtinId="8"/>
    <cellStyle name="Hyperlink 2" xfId="6"/>
    <cellStyle name="Hyperlink_K-State Vegetative Buffer" xfId="4"/>
    <cellStyle name="Normal" xfId="0" builtinId="0"/>
    <cellStyle name="Normal 2" xfId="5"/>
  </cellStyles>
  <dxfs count="0"/>
  <tableStyles count="0" defaultTableStyle="TableStyleMedium2" defaultPivotStyle="PivotStyleLight16"/>
  <colors>
    <mruColors>
      <color rgb="FF996633"/>
      <color rgb="FFFF66FF"/>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5" Type="http://schemas.openxmlformats.org/officeDocument/2006/relationships/image" Target="../media/image3.jpeg"/><Relationship Id="rId4"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1491735</xdr:colOff>
      <xdr:row>5</xdr:row>
      <xdr:rowOff>140315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1532282</xdr:colOff>
      <xdr:row>25</xdr:row>
      <xdr:rowOff>124238</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50</xdr:row>
      <xdr:rowOff>115534</xdr:rowOff>
    </xdr:from>
    <xdr:to>
      <xdr:col>5</xdr:col>
      <xdr:colOff>352012</xdr:colOff>
      <xdr:row>54</xdr:row>
      <xdr:rowOff>51765</xdr:rowOff>
    </xdr:to>
    <xdr:pic>
      <xdr:nvPicPr>
        <xdr:cNvPr id="4" name="Picture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8916634"/>
          <a:ext cx="2843005" cy="622032"/>
        </a:xfrm>
        <a:prstGeom prst="rect">
          <a:avLst/>
        </a:prstGeom>
      </xdr:spPr>
    </xdr:pic>
    <xdr:clientData/>
  </xdr:twoCellAnchor>
  <xdr:twoCellAnchor editAs="oneCell">
    <xdr:from>
      <xdr:col>1</xdr:col>
      <xdr:colOff>0</xdr:colOff>
      <xdr:row>8</xdr:row>
      <xdr:rowOff>10353</xdr:rowOff>
    </xdr:from>
    <xdr:to>
      <xdr:col>12</xdr:col>
      <xdr:colOff>2468</xdr:colOff>
      <xdr:row>25</xdr:row>
      <xdr:rowOff>134592</xdr:rowOff>
    </xdr:to>
    <xdr:pic>
      <xdr:nvPicPr>
        <xdr:cNvPr id="5" name="Picture 4"/>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7563" b="23901"/>
        <a:stretch/>
      </xdr:blipFill>
      <xdr:spPr>
        <a:xfrm>
          <a:off x="238125" y="1439103"/>
          <a:ext cx="7641518" cy="2838864"/>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1542635</xdr:colOff>
      <xdr:row>25</xdr:row>
      <xdr:rowOff>124239</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9526</xdr:colOff>
      <xdr:row>49</xdr:row>
      <xdr:rowOff>19048</xdr:rowOff>
    </xdr:from>
    <xdr:to>
      <xdr:col>2</xdr:col>
      <xdr:colOff>331471</xdr:colOff>
      <xdr:row>91</xdr:row>
      <xdr:rowOff>178594</xdr:rowOff>
    </xdr:to>
    <xdr:sp macro="" textlink="">
      <xdr:nvSpPr>
        <xdr:cNvPr id="2" name="TextBox 1"/>
        <xdr:cNvSpPr txBox="1"/>
      </xdr:nvSpPr>
      <xdr:spPr>
        <a:xfrm>
          <a:off x="9526" y="9627392"/>
          <a:ext cx="3250883" cy="81367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365760" algn="l"/>
            </a:tabLst>
          </a:pPr>
          <a:r>
            <a:rPr lang="en-US" sz="1100"/>
            <a:t>	</a:t>
          </a:r>
          <a:r>
            <a:rPr lang="en-US" sz="1100" baseline="0"/>
            <a:t>K-State's Agricultural Economics Department annually publishes </a:t>
          </a:r>
          <a:r>
            <a:rPr lang="en-US" sz="1100" i="1" baseline="0"/>
            <a:t>Farm Management Guides </a:t>
          </a:r>
          <a:r>
            <a:rPr lang="en-US" sz="1100" baseline="0"/>
            <a:t>to estimate the current profitability of different agricultural enterprises.  A new format for livestock enterprises this year allows the user to change certain key inputs to cater the budget to their production situation.  Climate, genetics, local cash prices, and a variety of other factors makes budgeting to the entire state of Kansas difficult.  While defaults in the spreadsheet are estimates for the state, users should enter their own prices and costs using the cells in </a:t>
          </a:r>
          <a:r>
            <a:rPr lang="en-US" sz="1100" b="1" baseline="0">
              <a:solidFill>
                <a:srgbClr val="0070C0"/>
              </a:solidFill>
            </a:rPr>
            <a:t>blue</a:t>
          </a:r>
          <a:r>
            <a:rPr lang="en-US" sz="1100" baseline="0"/>
            <a:t>.</a:t>
          </a:r>
        </a:p>
        <a:p>
          <a:pPr>
            <a:tabLst>
              <a:tab pos="365760" algn="l"/>
            </a:tabLst>
          </a:pPr>
          <a:r>
            <a:rPr lang="en-US" sz="1100" baseline="0"/>
            <a:t>	Two different sets of price forecasts are available in the spreadsheet.  By clicking the dropdown menu at the top of the budget, a user can select "Current Prices" or "One Year Out Prices".  All price assumptions can be viewed in the </a:t>
          </a:r>
          <a:r>
            <a:rPr lang="en-US" sz="1100" i="1" baseline="0"/>
            <a:t>Prices </a:t>
          </a:r>
          <a:r>
            <a:rPr lang="en-US" sz="1100" baseline="0"/>
            <a:t>tab.  This budget assumes slaughter lambs will be sold in September of the budget year.</a:t>
          </a:r>
        </a:p>
        <a:p>
          <a:pPr>
            <a:tabLst>
              <a:tab pos="365760" algn="l"/>
            </a:tabLst>
          </a:pPr>
          <a:r>
            <a:rPr lang="en-US" sz="1100" baseline="0"/>
            <a:t>	Feed assumptions can be viewed in the </a:t>
          </a:r>
          <a:r>
            <a:rPr lang="en-US" sz="1100" i="1" baseline="0"/>
            <a:t>Feed</a:t>
          </a:r>
          <a:r>
            <a:rPr lang="en-US" sz="1100" baseline="0"/>
            <a:t> tab.  The default Once-a-Year Lambing budget assumes a spring lambing that develops their own replacements; therefore costs include 15% of the cost of raising a replacement ewe (default is a 15% replacement percentage) </a:t>
          </a:r>
          <a:r>
            <a:rPr lang="en-US" sz="1100" baseline="0">
              <a:solidFill>
                <a:sysClr val="windowText" lastClr="000000"/>
              </a:solidFill>
            </a:rPr>
            <a:t>and 2.5% of the cost of maintaining a Ram (assuming 1 Ram per 40 ewes).  </a:t>
          </a:r>
          <a:r>
            <a:rPr lang="en-US" sz="1100" baseline="0"/>
            <a:t>If purchasing replacements or A.I. breeding, costs should be adjusted accordingly.  </a:t>
          </a:r>
        </a:p>
        <a:p>
          <a:pPr>
            <a:tabLst>
              <a:tab pos="365760" algn="l"/>
            </a:tabLst>
          </a:pPr>
          <a:endParaRPr lang="en-US" sz="1100" u="sng" baseline="0"/>
        </a:p>
        <a:p>
          <a:pPr>
            <a:tabLst>
              <a:tab pos="365760" algn="l"/>
            </a:tabLst>
          </a:pPr>
          <a:r>
            <a:rPr lang="en-US" sz="1100" u="sng" baseline="0"/>
            <a:t>Production Efficiency Measures</a:t>
          </a:r>
        </a:p>
        <a:p>
          <a:pPr>
            <a:tabLst>
              <a:tab pos="365760" algn="l"/>
            </a:tabLst>
          </a:pPr>
          <a:r>
            <a:rPr lang="en-US" sz="1100" b="1" baseline="0"/>
            <a:t>Weaning Percentage: </a:t>
          </a:r>
          <a:r>
            <a:rPr lang="en-US" sz="1100" b="0" baseline="0"/>
            <a:t>Lambs weaned per ewe exposed.  </a:t>
          </a:r>
          <a:r>
            <a:rPr lang="en-US" sz="1100" b="1" baseline="0">
              <a:solidFill>
                <a:schemeClr val="dk1"/>
              </a:solidFill>
              <a:effectLst/>
              <a:latin typeface="+mn-lt"/>
              <a:ea typeface="+mn-ea"/>
              <a:cs typeface="+mn-cs"/>
            </a:rPr>
            <a:t>Ewe Replacement Percentage: </a:t>
          </a:r>
          <a:r>
            <a:rPr lang="en-US" sz="1100" b="0" baseline="0">
              <a:solidFill>
                <a:schemeClr val="dk1"/>
              </a:solidFill>
              <a:effectLst/>
              <a:latin typeface="+mn-lt"/>
              <a:ea typeface="+mn-ea"/>
              <a:cs typeface="+mn-cs"/>
            </a:rPr>
            <a:t>Percent of lambs retained for replacements as well as cull ewes sold.</a:t>
          </a:r>
        </a:p>
        <a:p>
          <a:pPr eaLnBrk="1" fontAlgn="auto" latinLnBrk="0" hangingPunct="1"/>
          <a:endParaRPr lang="en-US" sz="1100" u="sng" baseline="0">
            <a:solidFill>
              <a:schemeClr val="dk1"/>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Revenue</a:t>
          </a:r>
          <a:endParaRPr lang="en-US">
            <a:effectLst/>
          </a:endParaRPr>
        </a:p>
        <a:p>
          <a:pPr eaLnBrk="1" fontAlgn="auto" latinLnBrk="0" hangingPunct="1"/>
          <a:r>
            <a:rPr lang="en-US" sz="1100" b="1" baseline="0">
              <a:solidFill>
                <a:schemeClr val="dk1"/>
              </a:solidFill>
              <a:effectLst/>
              <a:latin typeface="+mn-lt"/>
              <a:ea typeface="+mn-ea"/>
              <a:cs typeface="+mn-cs"/>
            </a:rPr>
            <a:t>Slaughter Lamb Sale: </a:t>
          </a:r>
          <a:r>
            <a:rPr lang="en-US" sz="1100" b="0" baseline="0">
              <a:solidFill>
                <a:schemeClr val="dk1"/>
              </a:solidFill>
              <a:effectLst/>
              <a:latin typeface="+mn-lt"/>
              <a:ea typeface="+mn-ea"/>
              <a:cs typeface="+mn-cs"/>
            </a:rPr>
            <a:t>Based on the Lamb Crop Percentage less the Ewe Replacement Percentage.  If purchasing replacements rather than raising them, the ewe replacement percentage will not be subtracted off when a value is entered in cell B21. Lamb weights can be adjusted. </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Cull Ewes: </a:t>
          </a:r>
          <a:r>
            <a:rPr lang="en-US" sz="1100" b="0" baseline="0">
              <a:solidFill>
                <a:schemeClr val="dk1"/>
              </a:solidFill>
              <a:effectLst/>
              <a:latin typeface="+mn-lt"/>
              <a:ea typeface="+mn-ea"/>
              <a:cs typeface="+mn-cs"/>
            </a:rPr>
            <a:t>Ewe Replacement Percentages will determine the amount of cull sales to attribute to revenue per ewe.  Cull weights can be adjusted.</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u="sng" baseline="0">
            <a:solidFill>
              <a:schemeClr val="dk1"/>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Variable Costs</a:t>
          </a:r>
          <a:endParaRPr lang="en-US">
            <a:effectLst/>
          </a:endParaRPr>
        </a:p>
        <a:p>
          <a:pPr eaLnBrk="1" fontAlgn="auto" latinLnBrk="0" hangingPunct="1"/>
          <a:r>
            <a:rPr lang="en-US" sz="1100" b="1" baseline="0">
              <a:solidFill>
                <a:schemeClr val="dk1"/>
              </a:solidFill>
              <a:effectLst/>
              <a:latin typeface="+mn-lt"/>
              <a:ea typeface="+mn-ea"/>
              <a:cs typeface="+mn-cs"/>
            </a:rPr>
            <a:t>Pasture: </a:t>
          </a:r>
          <a:r>
            <a:rPr lang="en-US" sz="1100" b="0" baseline="0">
              <a:solidFill>
                <a:schemeClr val="dk1"/>
              </a:solidFill>
              <a:effectLst/>
              <a:latin typeface="+mn-lt"/>
              <a:ea typeface="+mn-ea"/>
              <a:cs typeface="+mn-cs"/>
            </a:rPr>
            <a:t>A 2016 state average estimate of a 10-year linear trend using NASS surveys for pasture rental rates.</a:t>
          </a:r>
          <a:endParaRPr lang="en-US">
            <a:effectLst/>
          </a:endParaRPr>
        </a:p>
        <a:p>
          <a:pPr eaLnBrk="1" fontAlgn="auto" latinLnBrk="0" hangingPunct="1"/>
          <a:r>
            <a:rPr lang="en-US" sz="1100" b="1" baseline="0">
              <a:solidFill>
                <a:schemeClr val="dk1"/>
              </a:solidFill>
              <a:effectLst/>
              <a:latin typeface="+mn-lt"/>
              <a:ea typeface="+mn-ea"/>
              <a:cs typeface="+mn-cs"/>
            </a:rPr>
            <a:t>Harvested Forage: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yearly ration of hay, silage, and alfalfa gets combined and the price weighted based on the proportions of each.</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a:effectLst/>
          </a:endParaRPr>
        </a:p>
        <a:p>
          <a:pPr>
            <a:tabLst>
              <a:tab pos="365760" algn="l"/>
            </a:tabLst>
          </a:pPr>
          <a:endParaRPr lang="en-US" sz="1100" b="1"/>
        </a:p>
      </xdr:txBody>
    </xdr:sp>
    <xdr:clientData/>
  </xdr:twoCellAnchor>
  <xdr:twoCellAnchor>
    <xdr:from>
      <xdr:col>2</xdr:col>
      <xdr:colOff>342901</xdr:colOff>
      <xdr:row>49</xdr:row>
      <xdr:rowOff>19048</xdr:rowOff>
    </xdr:from>
    <xdr:to>
      <xdr:col>10</xdr:col>
      <xdr:colOff>17146</xdr:colOff>
      <xdr:row>92</xdr:row>
      <xdr:rowOff>0</xdr:rowOff>
    </xdr:to>
    <xdr:sp macro="" textlink="">
      <xdr:nvSpPr>
        <xdr:cNvPr id="3" name="TextBox 2"/>
        <xdr:cNvSpPr txBox="1"/>
      </xdr:nvSpPr>
      <xdr:spPr>
        <a:xfrm>
          <a:off x="3271839" y="9627392"/>
          <a:ext cx="3234213" cy="81724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u="sng" baseline="0">
              <a:solidFill>
                <a:schemeClr val="dk1"/>
              </a:solidFill>
              <a:effectLst/>
              <a:latin typeface="+mn-lt"/>
              <a:ea typeface="+mn-ea"/>
              <a:cs typeface="+mn-cs"/>
            </a:rPr>
            <a:t>Variable Costs (continued)</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Grain/Protein Supplements: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yearly ration of grain sorghum and soybean meal gets combined and the price weighted based on the proportions of each.</a:t>
          </a:r>
          <a:endParaRPr lang="en-US">
            <a:effectLst/>
          </a:endParaRPr>
        </a:p>
        <a:p>
          <a:pPr eaLnBrk="1" fontAlgn="auto" latinLnBrk="0" hangingPunct="1"/>
          <a:r>
            <a:rPr lang="en-US" sz="1100" b="1" baseline="0">
              <a:solidFill>
                <a:schemeClr val="dk1"/>
              </a:solidFill>
              <a:effectLst/>
              <a:latin typeface="+mn-lt"/>
              <a:ea typeface="+mn-ea"/>
              <a:cs typeface="+mn-cs"/>
            </a:rPr>
            <a:t>Salt &amp; Mineral: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total pounds/year is entered.</a:t>
          </a:r>
        </a:p>
        <a:p>
          <a:pPr eaLnBrk="1" fontAlgn="auto" latinLnBrk="0" hangingPunct="1"/>
          <a:r>
            <a:rPr lang="en-US" sz="1100" b="1" baseline="0">
              <a:solidFill>
                <a:schemeClr val="dk1"/>
              </a:solidFill>
              <a:effectLst/>
              <a:latin typeface="+mn-lt"/>
              <a:ea typeface="+mn-ea"/>
              <a:cs typeface="+mn-cs"/>
            </a:rPr>
            <a:t>Other Feed</a:t>
          </a:r>
          <a:r>
            <a:rPr lang="en-US" sz="1100" b="0" baseline="0">
              <a:solidFill>
                <a:schemeClr val="dk1"/>
              </a:solidFill>
              <a:effectLst/>
              <a:latin typeface="+mn-lt"/>
              <a:ea typeface="+mn-ea"/>
              <a:cs typeface="+mn-cs"/>
            </a:rPr>
            <a:t>: The amount for other feed that is not represented in the </a:t>
          </a:r>
          <a:r>
            <a:rPr lang="en-US" sz="1100" b="0" i="1" baseline="0">
              <a:solidFill>
                <a:schemeClr val="dk1"/>
              </a:solidFill>
              <a:effectLst/>
              <a:latin typeface="+mn-lt"/>
              <a:ea typeface="+mn-ea"/>
              <a:cs typeface="+mn-cs"/>
            </a:rPr>
            <a:t>Feed</a:t>
          </a:r>
          <a:r>
            <a:rPr lang="en-US" sz="1100" b="0" i="0" baseline="0">
              <a:solidFill>
                <a:schemeClr val="dk1"/>
              </a:solidFill>
              <a:effectLst/>
              <a:latin typeface="+mn-lt"/>
              <a:ea typeface="+mn-ea"/>
              <a:cs typeface="+mn-cs"/>
            </a:rPr>
            <a:t> tab.</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Labor:  </a:t>
          </a:r>
          <a:r>
            <a:rPr lang="en-US" sz="1100" b="0" i="1" baseline="0">
              <a:solidFill>
                <a:schemeClr val="dk1"/>
              </a:solidFill>
              <a:effectLst/>
              <a:latin typeface="+mn-lt"/>
              <a:ea typeface="+mn-ea"/>
              <a:cs typeface="+mn-cs"/>
            </a:rPr>
            <a:t>Labor Hired + Unpaid Operator Labor </a:t>
          </a:r>
          <a:r>
            <a:rPr lang="en-US" sz="1100" b="0" baseline="0">
              <a:solidFill>
                <a:schemeClr val="dk1"/>
              </a:solidFill>
              <a:effectLst/>
              <a:latin typeface="+mn-lt"/>
              <a:ea typeface="+mn-ea"/>
              <a:cs typeface="+mn-cs"/>
            </a:rPr>
            <a:t>determines a dollar per hour estimate across livestock budgets. </a:t>
          </a:r>
        </a:p>
        <a:p>
          <a:pPr eaLnBrk="1" fontAlgn="auto" latinLnBrk="0" hangingPunct="1"/>
          <a:r>
            <a:rPr lang="en-US" sz="1100" b="1" baseline="0">
              <a:solidFill>
                <a:schemeClr val="dk1"/>
              </a:solidFill>
              <a:effectLst/>
              <a:latin typeface="+mn-lt"/>
              <a:ea typeface="+mn-ea"/>
              <a:cs typeface="+mn-cs"/>
            </a:rPr>
            <a:t>Replacement Ewes: </a:t>
          </a:r>
          <a:r>
            <a:rPr lang="en-US" sz="1100" b="0" baseline="0">
              <a:solidFill>
                <a:schemeClr val="dk1"/>
              </a:solidFill>
              <a:effectLst/>
              <a:latin typeface="+mn-lt"/>
              <a:ea typeface="+mn-ea"/>
              <a:cs typeface="+mn-cs"/>
            </a:rPr>
            <a:t>If purchasing replacements, change this to purchase cost and reduce expenses accordingly.</a:t>
          </a:r>
          <a:endParaRPr lang="en-US">
            <a:effectLst/>
          </a:endParaRPr>
        </a:p>
        <a:p>
          <a:pPr eaLnBrk="1" fontAlgn="auto" latinLnBrk="0" hangingPunct="1"/>
          <a:r>
            <a:rPr lang="en-US" sz="1100" b="1" baseline="0">
              <a:solidFill>
                <a:schemeClr val="dk1"/>
              </a:solidFill>
              <a:effectLst/>
              <a:latin typeface="+mn-lt"/>
              <a:ea typeface="+mn-ea"/>
              <a:cs typeface="+mn-cs"/>
            </a:rPr>
            <a:t>Ram Charge: </a:t>
          </a:r>
          <a:r>
            <a:rPr lang="en-US" sz="1100" b="0" baseline="0">
              <a:solidFill>
                <a:schemeClr val="dk1"/>
              </a:solidFill>
              <a:effectLst/>
              <a:latin typeface="+mn-lt"/>
              <a:ea typeface="+mn-ea"/>
              <a:cs typeface="+mn-cs"/>
            </a:rPr>
            <a:t>Default assumes straight-line depreciation on a </a:t>
          </a:r>
          <a:r>
            <a:rPr lang="en-US" sz="1100" b="0" baseline="0">
              <a:solidFill>
                <a:sysClr val="windowText" lastClr="000000"/>
              </a:solidFill>
              <a:effectLst/>
              <a:latin typeface="+mn-lt"/>
              <a:ea typeface="+mn-ea"/>
              <a:cs typeface="+mn-cs"/>
            </a:rPr>
            <a:t>$550 Ram with a $65 salvage value and 5 year useful life.  2.5% is applied per ewe</a:t>
          </a:r>
          <a:r>
            <a:rPr lang="en-US" sz="1100" b="0" baseline="0">
              <a:solidFill>
                <a:schemeClr val="dk1"/>
              </a:solidFill>
              <a:effectLst/>
              <a:latin typeface="+mn-lt"/>
              <a:ea typeface="+mn-ea"/>
              <a:cs typeface="+mn-cs"/>
            </a:rPr>
            <a:t>.</a:t>
          </a:r>
          <a:endParaRPr lang="en-US">
            <a:effectLst/>
          </a:endParaRPr>
        </a:p>
        <a:p>
          <a:pPr eaLnBrk="1" fontAlgn="auto" latinLnBrk="0" hangingPunct="1"/>
          <a:r>
            <a:rPr lang="en-US" sz="1100" b="1" baseline="0">
              <a:solidFill>
                <a:schemeClr val="dk1"/>
              </a:solidFill>
              <a:effectLst/>
              <a:latin typeface="+mn-lt"/>
              <a:ea typeface="+mn-ea"/>
              <a:cs typeface="+mn-cs"/>
            </a:rPr>
            <a:t>Vet Medicine/Drugs:  </a:t>
          </a:r>
          <a:r>
            <a:rPr lang="en-US" sz="1100" b="0" baseline="0">
              <a:solidFill>
                <a:schemeClr val="dk1"/>
              </a:solidFill>
              <a:effectLst/>
              <a:latin typeface="+mn-lt"/>
              <a:ea typeface="+mn-ea"/>
              <a:cs typeface="+mn-cs"/>
            </a:rPr>
            <a:t>The amount for veterinarian services, drugs, and supplies.</a:t>
          </a:r>
          <a:endParaRPr lang="en-US" sz="1100" b="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Other Livestock Breeding/Marketing: </a:t>
          </a:r>
          <a:r>
            <a:rPr lang="en-US" sz="1100" b="0" baseline="0">
              <a:solidFill>
                <a:schemeClr val="dk1"/>
              </a:solidFill>
              <a:effectLst/>
              <a:latin typeface="+mn-lt"/>
              <a:ea typeface="+mn-ea"/>
              <a:cs typeface="+mn-cs"/>
            </a:rPr>
            <a:t>The amount that includes trucking, sale commissions, and other expenses.</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Shearing</a:t>
          </a:r>
          <a:r>
            <a:rPr lang="en-US" sz="1100" b="0" baseline="0">
              <a:solidFill>
                <a:schemeClr val="dk1"/>
              </a:solidFill>
              <a:effectLst/>
              <a:latin typeface="+mn-lt"/>
              <a:ea typeface="+mn-ea"/>
              <a:cs typeface="+mn-cs"/>
            </a:rPr>
            <a:t>: The amount for shearing each ewe.</a:t>
          </a:r>
          <a:endParaRPr lang="en-US" sz="1100" b="1" baseline="0">
            <a:solidFill>
              <a:srgbClr val="FF0000"/>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Utilities, Gas, Fuel, Oil: </a:t>
          </a:r>
          <a:r>
            <a:rPr lang="en-US" sz="1100" b="0" baseline="0">
              <a:solidFill>
                <a:schemeClr val="dk1"/>
              </a:solidFill>
              <a:effectLst/>
              <a:latin typeface="+mn-lt"/>
              <a:ea typeface="+mn-ea"/>
              <a:cs typeface="+mn-cs"/>
            </a:rPr>
            <a:t>The amount for the lamb enterprises's share.</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Machinery, Facility/Equip. Repairs: </a:t>
          </a:r>
          <a:r>
            <a:rPr lang="en-US" sz="1100" b="0" baseline="0">
              <a:solidFill>
                <a:schemeClr val="dk1"/>
              </a:solidFill>
              <a:effectLst/>
              <a:latin typeface="+mn-lt"/>
              <a:ea typeface="+mn-ea"/>
              <a:cs typeface="+mn-cs"/>
            </a:rPr>
            <a:t>The amount for the lamb enterprises's share.</a:t>
          </a:r>
        </a:p>
        <a:p>
          <a:pPr eaLnBrk="1" fontAlgn="auto" latinLnBrk="0" hangingPunct="1"/>
          <a:r>
            <a:rPr lang="en-US" sz="1100" b="1" baseline="0">
              <a:solidFill>
                <a:schemeClr val="dk1"/>
              </a:solidFill>
              <a:effectLst/>
              <a:latin typeface="+mn-lt"/>
              <a:ea typeface="+mn-ea"/>
              <a:cs typeface="+mn-cs"/>
            </a:rPr>
            <a:t>Cash Interest Paid: </a:t>
          </a:r>
          <a:r>
            <a:rPr lang="en-US" sz="1100" b="0" baseline="0">
              <a:solidFill>
                <a:schemeClr val="dk1"/>
              </a:solidFill>
              <a:effectLst/>
              <a:latin typeface="+mn-lt"/>
              <a:ea typeface="+mn-ea"/>
              <a:cs typeface="+mn-cs"/>
            </a:rPr>
            <a:t>The amount for the lamb enterprises's share.</a:t>
          </a:r>
        </a:p>
        <a:p>
          <a:pPr eaLnBrk="1" fontAlgn="auto" latinLnBrk="0" hangingPunct="1"/>
          <a:r>
            <a:rPr lang="en-US" sz="1100" b="1" baseline="0">
              <a:solidFill>
                <a:schemeClr val="dk1"/>
              </a:solidFill>
              <a:effectLst/>
              <a:latin typeface="+mn-lt"/>
              <a:ea typeface="+mn-ea"/>
              <a:cs typeface="+mn-cs"/>
            </a:rPr>
            <a:t>Other Variable Costs: </a:t>
          </a:r>
          <a:r>
            <a:rPr lang="en-US" sz="1100" b="0" baseline="0">
              <a:solidFill>
                <a:schemeClr val="dk1"/>
              </a:solidFill>
              <a:effectLst/>
              <a:latin typeface="+mn-lt"/>
              <a:ea typeface="+mn-ea"/>
              <a:cs typeface="+mn-cs"/>
            </a:rPr>
            <a:t>Rough sum of all other variable costs, includes fees/publications/travel, conservation, building rental, predator control, etc. to the lamb enterprise. </a:t>
          </a:r>
        </a:p>
        <a:p>
          <a:pPr eaLnBrk="1" fontAlgn="auto" latinLnBrk="0" hangingPunct="1"/>
          <a:endParaRPr lang="en-US"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Fixed Costs</a:t>
          </a:r>
          <a:endParaRPr lang="en-US">
            <a:effectLst/>
          </a:endParaRPr>
        </a:p>
        <a:p>
          <a:pPr eaLnBrk="1" fontAlgn="auto" latinLnBrk="0" hangingPunct="1"/>
          <a:r>
            <a:rPr lang="en-US" sz="1100" b="1" baseline="0">
              <a:solidFill>
                <a:schemeClr val="dk1"/>
              </a:solidFill>
              <a:effectLst/>
              <a:latin typeface="+mn-lt"/>
              <a:ea typeface="+mn-ea"/>
              <a:cs typeface="+mn-cs"/>
            </a:rPr>
            <a:t>Depreciation - Building/Equipment: </a:t>
          </a:r>
          <a:r>
            <a:rPr lang="en-US" sz="1100" b="0" baseline="0">
              <a:solidFill>
                <a:schemeClr val="dk1"/>
              </a:solidFill>
              <a:effectLst/>
              <a:latin typeface="+mn-lt"/>
              <a:ea typeface="+mn-ea"/>
              <a:cs typeface="+mn-cs"/>
            </a:rPr>
            <a:t>The amount of deprecation for the lamb enterprises's share towards buildings and equipment.</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Depreciation - Livestock: </a:t>
          </a:r>
          <a:r>
            <a:rPr lang="en-US" sz="1100" b="0" baseline="0">
              <a:solidFill>
                <a:schemeClr val="dk1"/>
              </a:solidFill>
              <a:effectLst/>
              <a:latin typeface="+mn-lt"/>
              <a:ea typeface="+mn-ea"/>
              <a:cs typeface="+mn-cs"/>
            </a:rPr>
            <a:t>The amount of deprecation for the lamb enterprises's share towards purchased breeding livestock.</a:t>
          </a:r>
          <a:endParaRPr lang="en-US">
            <a:effectLst/>
          </a:endParaRPr>
        </a:p>
        <a:p>
          <a:pPr eaLnBrk="1" fontAlgn="auto" latinLnBrk="0" hangingPunct="1"/>
          <a:r>
            <a:rPr lang="en-US" sz="1100" b="1" baseline="0">
              <a:solidFill>
                <a:schemeClr val="dk1"/>
              </a:solidFill>
              <a:effectLst/>
              <a:latin typeface="+mn-lt"/>
              <a:ea typeface="+mn-ea"/>
              <a:cs typeface="+mn-cs"/>
            </a:rPr>
            <a:t>Taxes/Insurance - Farm &amp; Livestock: </a:t>
          </a:r>
          <a:r>
            <a:rPr lang="en-US" sz="1100" b="0" baseline="0">
              <a:solidFill>
                <a:schemeClr val="dk1"/>
              </a:solidFill>
              <a:effectLst/>
              <a:latin typeface="+mn-lt"/>
              <a:ea typeface="+mn-ea"/>
              <a:cs typeface="+mn-cs"/>
            </a:rPr>
            <a:t>The amount of taxes and insurance for the lamb enterprises's share towards the farm and livestock.</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Interest - Buildings/Equipment &amp; Livestock</a:t>
          </a:r>
          <a:r>
            <a:rPr lang="en-US" sz="1100" b="0" baseline="0">
              <a:solidFill>
                <a:schemeClr val="dk1"/>
              </a:solidFill>
              <a:effectLst/>
              <a:latin typeface="+mn-lt"/>
              <a:ea typeface="+mn-ea"/>
              <a:cs typeface="+mn-cs"/>
            </a:rPr>
            <a:t>: The amount of interest for the lamb enterprises's share towards buildings, equipment and livestock.</a:t>
          </a:r>
          <a:endParaRPr lang="en-US">
            <a:effectLst/>
          </a:endParaRPr>
        </a:p>
        <a:p>
          <a:pPr eaLnBrk="1" fontAlgn="auto" latinLnBrk="0" hangingPunct="1"/>
          <a:r>
            <a:rPr lang="en-US" sz="1100" b="1" baseline="0">
              <a:solidFill>
                <a:schemeClr val="dk1"/>
              </a:solidFill>
              <a:effectLst/>
              <a:latin typeface="+mn-lt"/>
              <a:ea typeface="+mn-ea"/>
              <a:cs typeface="+mn-cs"/>
            </a:rPr>
            <a:t>Opportunity Cost of Investment: </a:t>
          </a:r>
          <a:r>
            <a:rPr lang="en-US" sz="1100" b="0" baseline="0">
              <a:solidFill>
                <a:schemeClr val="dk1"/>
              </a:solidFill>
              <a:effectLst/>
              <a:latin typeface="+mn-lt"/>
              <a:ea typeface="+mn-ea"/>
              <a:cs typeface="+mn-cs"/>
            </a:rPr>
            <a:t>A measure to reflect the interest that could have been earned had the investment been made elsewhere. It does not represent cash interest paid. </a:t>
          </a:r>
          <a:endParaRPr lang="en-US" sz="800" b="1">
            <a:effectLst/>
          </a:endParaRPr>
        </a:p>
        <a:p>
          <a:pPr eaLnBrk="1" fontAlgn="auto" latinLnBrk="0" hangingPunct="1"/>
          <a:endParaRPr lang="en-US">
            <a:effectLst/>
          </a:endParaRPr>
        </a:p>
      </xdr:txBody>
    </xdr:sp>
    <xdr:clientData/>
  </xdr:twoCellAnchor>
  <xdr:twoCellAnchor>
    <xdr:from>
      <xdr:col>0</xdr:col>
      <xdr:colOff>76200</xdr:colOff>
      <xdr:row>127</xdr:row>
      <xdr:rowOff>171451</xdr:rowOff>
    </xdr:from>
    <xdr:to>
      <xdr:col>9</xdr:col>
      <xdr:colOff>778670</xdr:colOff>
      <xdr:row>129</xdr:row>
      <xdr:rowOff>0</xdr:rowOff>
    </xdr:to>
    <xdr:sp macro="" textlink="">
      <xdr:nvSpPr>
        <xdr:cNvPr id="11" name="TextBox 10"/>
        <xdr:cNvSpPr txBox="1"/>
      </xdr:nvSpPr>
      <xdr:spPr>
        <a:xfrm>
          <a:off x="76200" y="26403301"/>
          <a:ext cx="6312695" cy="8191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685800" algn="l"/>
              <a:tab pos="1371600" algn="l"/>
              <a:tab pos="1828800" algn="l"/>
              <a:tab pos="2286000" algn="l"/>
            </a:tabLst>
          </a:pPr>
          <a:r>
            <a:rPr lang="en-US" sz="1000"/>
            <a:t>				</a:t>
          </a:r>
          <a:r>
            <a:rPr lang="en-US" sz="1000" u="sng"/>
            <a:t>Contributors:</a:t>
          </a:r>
        </a:p>
        <a:p>
          <a:pPr>
            <a:tabLst>
              <a:tab pos="685800" algn="l"/>
              <a:tab pos="1371600" algn="l"/>
              <a:tab pos="1828800" algn="l"/>
              <a:tab pos="2286000" algn="l"/>
            </a:tabLst>
          </a:pPr>
          <a:r>
            <a:rPr lang="en-US" sz="1000"/>
            <a:t>Dustin Pendell</a:t>
          </a:r>
          <a:r>
            <a:rPr lang="en-US" sz="1000" baseline="0"/>
            <a:t>		Robin Reid		DeWayne Craighead</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Agricultural</a:t>
          </a:r>
          <a:r>
            <a:rPr lang="en-US" sz="1000" baseline="0"/>
            <a:t> Economist	</a:t>
          </a:r>
          <a:r>
            <a:rPr lang="en-US" sz="1000"/>
            <a:t>Extension Associate	</a:t>
          </a:r>
          <a:r>
            <a:rPr lang="en-US" sz="1000" baseline="0"/>
            <a:t>Hodgeman Cty Extension Agent</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KSU-Agricultural Economics</a:t>
          </a:r>
          <a:r>
            <a:rPr lang="en-US" sz="1000" baseline="0"/>
            <a:t>            	</a:t>
          </a:r>
          <a:r>
            <a:rPr lang="en-US" sz="1000">
              <a:solidFill>
                <a:schemeClr val="dk1"/>
              </a:solidFill>
              <a:effectLst/>
              <a:latin typeface="+mn-lt"/>
              <a:ea typeface="+mn-ea"/>
              <a:cs typeface="+mn-cs"/>
            </a:rPr>
            <a:t>KSU-Agricultural Economics</a:t>
          </a:r>
          <a:r>
            <a:rPr lang="en-US" sz="1000" baseline="0">
              <a:solidFill>
                <a:schemeClr val="dk1"/>
              </a:solidFill>
              <a:effectLst/>
              <a:latin typeface="+mn-lt"/>
              <a:ea typeface="+mn-ea"/>
              <a:cs typeface="+mn-cs"/>
            </a:rPr>
            <a:t>             	K-State Research and Extension</a:t>
          </a:r>
          <a:endParaRPr lang="en-US" sz="1000">
            <a:effectLst/>
          </a:endParaRPr>
        </a:p>
        <a:p>
          <a:endParaRPr lang="en-US" sz="1000"/>
        </a:p>
      </xdr:txBody>
    </xdr:sp>
    <xdr:clientData/>
  </xdr:twoCellAnchor>
  <mc:AlternateContent xmlns:mc="http://schemas.openxmlformats.org/markup-compatibility/2006">
    <mc:Choice xmlns:a14="http://schemas.microsoft.com/office/drawing/2010/main" Requires="a14">
      <xdr:twoCellAnchor>
        <xdr:from>
          <xdr:col>11</xdr:col>
          <xdr:colOff>9525</xdr:colOff>
          <xdr:row>3</xdr:row>
          <xdr:rowOff>114300</xdr:rowOff>
        </xdr:from>
        <xdr:to>
          <xdr:col>14</xdr:col>
          <xdr:colOff>447675</xdr:colOff>
          <xdr:row>5</xdr:row>
          <xdr:rowOff>0</xdr:rowOff>
        </xdr:to>
        <xdr:sp macro="" textlink="">
          <xdr:nvSpPr>
            <xdr:cNvPr id="9222" name="Button 6" hidden="1">
              <a:extLst>
                <a:ext uri="{63B3BB69-23CF-44E3-9099-C40C66FF867C}">
                  <a14:compatExt spid="_x0000_s922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rPr>
                <a:t>Print Budget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19050</xdr:rowOff>
        </xdr:from>
        <xdr:to>
          <xdr:col>14</xdr:col>
          <xdr:colOff>438150</xdr:colOff>
          <xdr:row>6</xdr:row>
          <xdr:rowOff>361950</xdr:rowOff>
        </xdr:to>
        <xdr:sp macro="" textlink="">
          <xdr:nvSpPr>
            <xdr:cNvPr id="9224" name="Button 8" hidden="1">
              <a:extLst>
                <a:ext uri="{63B3BB69-23CF-44E3-9099-C40C66FF867C}">
                  <a14:compatExt spid="_x0000_s922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rPr>
                <a:t>Print Budget and Explanation Pages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9525</xdr:colOff>
      <xdr:row>47</xdr:row>
      <xdr:rowOff>19049</xdr:rowOff>
    </xdr:from>
    <xdr:to>
      <xdr:col>2</xdr:col>
      <xdr:colOff>503555</xdr:colOff>
      <xdr:row>89</xdr:row>
      <xdr:rowOff>432955</xdr:rowOff>
    </xdr:to>
    <xdr:sp macro="" textlink="">
      <xdr:nvSpPr>
        <xdr:cNvPr id="2" name="TextBox 1"/>
        <xdr:cNvSpPr txBox="1"/>
      </xdr:nvSpPr>
      <xdr:spPr>
        <a:xfrm>
          <a:off x="9525" y="9353549"/>
          <a:ext cx="3386166" cy="84149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365760" algn="l"/>
            </a:tabLst>
          </a:pPr>
          <a:r>
            <a:rPr lang="en-US" sz="1100"/>
            <a:t>	</a:t>
          </a:r>
          <a:r>
            <a:rPr lang="en-US" sz="1100" baseline="0"/>
            <a:t>K-State's Agricultural Economics Department annually publishes </a:t>
          </a:r>
          <a:r>
            <a:rPr lang="en-US" sz="1100" i="1" baseline="0"/>
            <a:t>Farm Management Guides </a:t>
          </a:r>
          <a:r>
            <a:rPr lang="en-US" sz="1100" baseline="0"/>
            <a:t>to estimate the current profitability of different agricultural enterprises.  A new format for livestock enterprises this year allows the user to change certain key inputs to cater the budget to their production situation.  Rainfall, temperature, genetics, local cash prices, and a variety of other factors makes budgeting to the entire state of Kansas difficult.  While defaults in the spreadsheet are research-based estimates for the state, users should enter their own prices and costs using the cells in </a:t>
          </a:r>
          <a:r>
            <a:rPr lang="en-US" sz="1100" b="1" baseline="0">
              <a:solidFill>
                <a:srgbClr val="0070C0"/>
              </a:solidFill>
            </a:rPr>
            <a:t>blue</a:t>
          </a:r>
          <a:r>
            <a:rPr lang="en-US" sz="1100" baseline="0"/>
            <a:t>.</a:t>
          </a:r>
        </a:p>
        <a:p>
          <a:pPr eaLnBrk="1" fontAlgn="auto" latinLnBrk="0" hangingPunct="1">
            <a:tabLst>
              <a:tab pos="457200" algn="l"/>
            </a:tabLst>
          </a:pPr>
          <a:r>
            <a:rPr lang="en-US" sz="1100" baseline="0"/>
            <a:t>	The Kansas Farm Management Association (KFMA) is frequently cited as an informational source for production and cost estimates.  Trained K-State economists work with these farms to keep consistent records, do performance analysis, and state benchmarking.  </a:t>
          </a:r>
          <a:r>
            <a:rPr lang="en-US" sz="1100" baseline="0">
              <a:solidFill>
                <a:schemeClr val="dk1"/>
              </a:solidFill>
              <a:effectLst/>
              <a:latin typeface="+mn-lt"/>
              <a:ea typeface="+mn-ea"/>
              <a:cs typeface="+mn-cs"/>
            </a:rPr>
            <a:t>Variable Costs are entered on a per cwt basis multiplied by CWT gained. This way as starting and ending weights are changed, these costs adjust accordingly.  Default costs in the tool are based on 10-year KFMA  trends, rounded to the nearest dollar.</a:t>
          </a:r>
          <a:endParaRPr lang="en-US">
            <a:effectLst/>
          </a:endParaRPr>
        </a:p>
        <a:p>
          <a:pPr>
            <a:tabLst>
              <a:tab pos="365760" algn="l"/>
            </a:tabLst>
          </a:pPr>
          <a:r>
            <a:rPr lang="en-US" sz="1100" baseline="0"/>
            <a:t>	Three different sets of price forecasts are available in the spreadsheet.  By clicking the dropdown menu at the top of the budget, a user can select "Current Prices", "One Year Out Prices", or "Five Year Out Prices".  All price assumptions can be viewed in the </a:t>
          </a:r>
          <a:r>
            <a:rPr lang="en-US" sz="1100" i="1" baseline="0"/>
            <a:t>Prices </a:t>
          </a:r>
          <a:r>
            <a:rPr lang="en-US" sz="1100" baseline="0"/>
            <a:t>tab.  </a:t>
          </a:r>
        </a:p>
        <a:p>
          <a:pPr>
            <a:tabLst>
              <a:tab pos="365760" algn="l"/>
            </a:tabLst>
          </a:pPr>
          <a:r>
            <a:rPr lang="en-US" sz="1100" baseline="0"/>
            <a:t>	Feed assumptions can be viewed in the </a:t>
          </a:r>
          <a:r>
            <a:rPr lang="en-US" sz="1100" i="1" baseline="0"/>
            <a:t>Feed</a:t>
          </a:r>
          <a:r>
            <a:rPr lang="en-US" sz="1100" baseline="0"/>
            <a:t> tab.  Pasture should be entered as a total acre amount for the entire budgeting period.  The default assumes a season-long grazing scenario.  If crop residue or harvested forages are used seperate of pasture, adjust ending weight accordingly, since it calculates off of ADG on pasture.  Grain, supplements, and mineral are also entered as a total amount for the stocker period.  </a:t>
          </a:r>
        </a:p>
        <a:p>
          <a:pPr>
            <a:tabLst>
              <a:tab pos="365760" algn="l"/>
            </a:tabLst>
          </a:pPr>
          <a:endParaRPr lang="en-US" sz="900" baseline="0"/>
        </a:p>
        <a:p>
          <a:pPr>
            <a:tabLst>
              <a:tab pos="365760" algn="l"/>
            </a:tabLst>
          </a:pPr>
          <a:r>
            <a:rPr lang="en-US" sz="1100" u="sng" baseline="0"/>
            <a:t>Production Efficiency Measures</a:t>
          </a:r>
        </a:p>
        <a:p>
          <a:pPr>
            <a:tabLst>
              <a:tab pos="365760" algn="l"/>
            </a:tabLst>
          </a:pPr>
          <a:r>
            <a:rPr lang="en-US" sz="1100" b="1" baseline="0"/>
            <a:t>Death Loss: </a:t>
          </a:r>
          <a:r>
            <a:rPr lang="en-US" sz="1100" b="0" baseline="0"/>
            <a:t>Percentage of animals normally lost.</a:t>
          </a: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Days on Pasture &amp; Average Daily Gain: </a:t>
          </a:r>
          <a:r>
            <a:rPr lang="en-US" sz="1100" b="0" baseline="0">
              <a:solidFill>
                <a:schemeClr val="dk1"/>
              </a:solidFill>
              <a:effectLst/>
              <a:latin typeface="+mn-lt"/>
              <a:ea typeface="+mn-ea"/>
              <a:cs typeface="+mn-cs"/>
            </a:rPr>
            <a:t>Will be used to calculate ending weight and hundredweight producted (CWT).  Non-feed variable costs will adjust in proportion to cwt produced.  </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900" b="0" baseline="0">
            <a:solidFill>
              <a:srgbClr val="FF0000"/>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Gross Return</a:t>
          </a:r>
          <a:endParaRPr lang="en-US">
            <a:effectLst/>
          </a:endParaRPr>
        </a:p>
        <a:p>
          <a:pPr eaLnBrk="1" fontAlgn="auto" latinLnBrk="0" hangingPunct="1"/>
          <a:r>
            <a:rPr lang="en-US" sz="1100" b="1" baseline="0">
              <a:solidFill>
                <a:schemeClr val="dk1"/>
              </a:solidFill>
              <a:effectLst/>
              <a:latin typeface="+mn-lt"/>
              <a:ea typeface="+mn-ea"/>
              <a:cs typeface="+mn-cs"/>
            </a:rPr>
            <a:t>Feeder Animal Sale: </a:t>
          </a:r>
          <a:r>
            <a:rPr lang="en-US" sz="1100" b="0" baseline="0">
              <a:solidFill>
                <a:schemeClr val="dk1"/>
              </a:solidFill>
              <a:effectLst/>
              <a:latin typeface="+mn-lt"/>
              <a:ea typeface="+mn-ea"/>
              <a:cs typeface="+mn-cs"/>
            </a:rPr>
            <a:t>Default is based upon Steer price, adjust if grazing heifers.</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Purchase Price: </a:t>
          </a:r>
          <a:r>
            <a:rPr lang="en-US" sz="1100" b="0" baseline="0">
              <a:solidFill>
                <a:schemeClr val="dk1"/>
              </a:solidFill>
              <a:effectLst/>
              <a:latin typeface="+mn-lt"/>
              <a:ea typeface="+mn-ea"/>
              <a:cs typeface="+mn-cs"/>
            </a:rPr>
            <a:t>Default price is based upon Steer price, adjust if grazing heifers.</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u="sng"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a:effectLst/>
          </a:endParaRPr>
        </a:p>
        <a:p>
          <a:pPr>
            <a:tabLst>
              <a:tab pos="365760" algn="l"/>
            </a:tabLst>
          </a:pPr>
          <a:endParaRPr lang="en-US" sz="1100" b="1"/>
        </a:p>
      </xdr:txBody>
    </xdr:sp>
    <xdr:clientData/>
  </xdr:twoCellAnchor>
  <xdr:twoCellAnchor>
    <xdr:from>
      <xdr:col>2</xdr:col>
      <xdr:colOff>501651</xdr:colOff>
      <xdr:row>47</xdr:row>
      <xdr:rowOff>19047</xdr:rowOff>
    </xdr:from>
    <xdr:to>
      <xdr:col>9</xdr:col>
      <xdr:colOff>881381</xdr:colOff>
      <xdr:row>89</xdr:row>
      <xdr:rowOff>432954</xdr:rowOff>
    </xdr:to>
    <xdr:sp macro="" textlink="">
      <xdr:nvSpPr>
        <xdr:cNvPr id="3" name="TextBox 2"/>
        <xdr:cNvSpPr txBox="1"/>
      </xdr:nvSpPr>
      <xdr:spPr>
        <a:xfrm>
          <a:off x="3393787" y="9353547"/>
          <a:ext cx="3167958" cy="84149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Death Loss: </a:t>
          </a:r>
          <a:r>
            <a:rPr lang="en-US" sz="1100" b="0" baseline="0">
              <a:solidFill>
                <a:schemeClr val="dk1"/>
              </a:solidFill>
              <a:effectLst/>
              <a:latin typeface="+mn-lt"/>
              <a:ea typeface="+mn-ea"/>
              <a:cs typeface="+mn-cs"/>
            </a:rPr>
            <a:t>Death Loss percentage is multiplied by the purchase animal price to determine the deduction.  </a:t>
          </a:r>
        </a:p>
        <a:p>
          <a:pPr marL="0" marR="0" indent="0" defTabSz="914400" eaLnBrk="1" fontAlgn="auto" latinLnBrk="0" hangingPunct="1">
            <a:lnSpc>
              <a:spcPct val="100000"/>
            </a:lnSpc>
            <a:spcBef>
              <a:spcPts val="0"/>
            </a:spcBef>
            <a:spcAft>
              <a:spcPts val="0"/>
            </a:spcAft>
            <a:buClrTx/>
            <a:buSzTx/>
            <a:buFontTx/>
            <a:buNone/>
            <a:tabLst/>
            <a:defRPr/>
          </a:pPr>
          <a:endParaRPr lang="en-US" sz="1050" u="sng" baseline="0">
            <a:solidFill>
              <a:schemeClr val="dk1"/>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Variable Costs</a:t>
          </a:r>
          <a:endParaRPr lang="en-US">
            <a:effectLst/>
          </a:endParaRPr>
        </a:p>
        <a:p>
          <a:pPr eaLnBrk="1" fontAlgn="auto" latinLnBrk="0" hangingPunct="1"/>
          <a:r>
            <a:rPr lang="en-US" sz="1100" b="1" baseline="0">
              <a:solidFill>
                <a:schemeClr val="dk1"/>
              </a:solidFill>
              <a:effectLst/>
              <a:latin typeface="+mn-lt"/>
              <a:ea typeface="+mn-ea"/>
              <a:cs typeface="+mn-cs"/>
            </a:rPr>
            <a:t>Pasture: </a:t>
          </a:r>
          <a:r>
            <a:rPr lang="en-US" sz="1100" b="0" baseline="0">
              <a:solidFill>
                <a:schemeClr val="dk1"/>
              </a:solidFill>
              <a:effectLst/>
              <a:latin typeface="+mn-lt"/>
              <a:ea typeface="+mn-ea"/>
              <a:cs typeface="+mn-cs"/>
            </a:rPr>
            <a:t>$18.06 is a 2015 state average estimate of a 10-year linear trend using NASS surveys for pasture rental rates</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Crop Residue:</a:t>
          </a:r>
          <a:r>
            <a:rPr lang="en-US" sz="1100" b="0" baseline="0">
              <a:solidFill>
                <a:schemeClr val="dk1"/>
              </a:solidFill>
              <a:effectLst/>
              <a:latin typeface="+mn-lt"/>
              <a:ea typeface="+mn-ea"/>
              <a:cs typeface="+mn-cs"/>
            </a:rPr>
            <a:t> Defaults to $15/acre, but no crop residue is used in this example.  </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Harvested Forage: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total ration of hay, silage, and alfalfa gets combined and price is weighted based on the proportions of each forage.  Default scenario assumes stockers are on pasture entire time.  </a:t>
          </a:r>
          <a:endParaRPr lang="en-US" sz="1100" b="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Grain/Protein Supplements: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total ration of corn, soybean meal, and distiller's grains gets combined and price is weighted based on the proportions of each feedstuff.  Default scenario assumes no grain or supplements are used.</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Mineral: </a:t>
          </a:r>
          <a:r>
            <a:rPr lang="en-US" sz="1100" b="0" baseline="0">
              <a:solidFill>
                <a:schemeClr val="dk1"/>
              </a:solidFill>
              <a:effectLst/>
              <a:latin typeface="+mn-lt"/>
              <a:ea typeface="+mn-ea"/>
              <a:cs typeface="+mn-cs"/>
            </a:rPr>
            <a:t>In the Feed tab, a total amount is entered for the grazing period.</a:t>
          </a:r>
        </a:p>
        <a:p>
          <a:pPr eaLnBrk="1" fontAlgn="auto" latinLnBrk="0" hangingPunct="1"/>
          <a:r>
            <a:rPr lang="en-US" sz="1100" b="1" baseline="0">
              <a:solidFill>
                <a:schemeClr val="dk1"/>
              </a:solidFill>
              <a:effectLst/>
              <a:latin typeface="+mn-lt"/>
              <a:ea typeface="+mn-ea"/>
              <a:cs typeface="+mn-cs"/>
            </a:rPr>
            <a:t>Labor:  </a:t>
          </a:r>
          <a:r>
            <a:rPr lang="en-US" sz="1100" b="0" baseline="0">
              <a:solidFill>
                <a:schemeClr val="dk1"/>
              </a:solidFill>
              <a:effectLst/>
              <a:latin typeface="+mn-lt"/>
              <a:ea typeface="+mn-ea"/>
              <a:cs typeface="+mn-cs"/>
            </a:rPr>
            <a:t>Researched labor per animal is between .15 and .30 hours per month, default assumes .20 hours per month. KFMA </a:t>
          </a:r>
          <a:r>
            <a:rPr lang="en-US" sz="1100" b="0" i="1" baseline="0">
              <a:solidFill>
                <a:schemeClr val="dk1"/>
              </a:solidFill>
              <a:effectLst/>
              <a:latin typeface="+mn-lt"/>
              <a:ea typeface="+mn-ea"/>
              <a:cs typeface="+mn-cs"/>
            </a:rPr>
            <a:t>Labor Hired + Unpaid Operator Labor </a:t>
          </a:r>
          <a:r>
            <a:rPr lang="en-US" sz="1100" b="0" baseline="0">
              <a:solidFill>
                <a:schemeClr val="dk1"/>
              </a:solidFill>
              <a:effectLst/>
              <a:latin typeface="+mn-lt"/>
              <a:ea typeface="+mn-ea"/>
              <a:cs typeface="+mn-cs"/>
            </a:rPr>
            <a:t>determined a dollar per hour estimate for all cattle budgets.</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Vet Medicine/Drugs:  </a:t>
          </a:r>
          <a:r>
            <a:rPr lang="en-US" sz="1100" b="0" baseline="0">
              <a:solidFill>
                <a:schemeClr val="dk1"/>
              </a:solidFill>
              <a:effectLst/>
              <a:latin typeface="+mn-lt"/>
              <a:ea typeface="+mn-ea"/>
              <a:cs typeface="+mn-cs"/>
            </a:rPr>
            <a:t>KFMA value</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Livestock Marketing: </a:t>
          </a:r>
          <a:r>
            <a:rPr lang="en-US" sz="1100" b="0" baseline="0">
              <a:solidFill>
                <a:schemeClr val="dk1"/>
              </a:solidFill>
              <a:effectLst/>
              <a:latin typeface="+mn-lt"/>
              <a:ea typeface="+mn-ea"/>
              <a:cs typeface="+mn-cs"/>
            </a:rPr>
            <a:t>KFMA value which includes trucking and sale commissions.</a:t>
          </a:r>
        </a:p>
        <a:p>
          <a:pPr eaLnBrk="1" fontAlgn="auto" latinLnBrk="0" hangingPunct="1"/>
          <a:r>
            <a:rPr lang="en-US" sz="1100" b="1" baseline="0">
              <a:solidFill>
                <a:schemeClr val="dk1"/>
              </a:solidFill>
              <a:effectLst/>
              <a:latin typeface="+mn-lt"/>
              <a:ea typeface="+mn-ea"/>
              <a:cs typeface="+mn-cs"/>
            </a:rPr>
            <a:t>Utilities, Gas, Fuel, Oil: </a:t>
          </a:r>
          <a:r>
            <a:rPr lang="en-US" sz="1100" b="0" baseline="0">
              <a:solidFill>
                <a:schemeClr val="dk1"/>
              </a:solidFill>
              <a:effectLst/>
              <a:latin typeface="+mn-lt"/>
              <a:ea typeface="+mn-ea"/>
              <a:cs typeface="+mn-cs"/>
            </a:rPr>
            <a:t>KFMA combined values</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Machinery, Facility/Equip. Repairs: </a:t>
          </a:r>
          <a:r>
            <a:rPr lang="en-US" sz="1100" b="0" baseline="0">
              <a:solidFill>
                <a:schemeClr val="dk1"/>
              </a:solidFill>
              <a:effectLst/>
              <a:latin typeface="+mn-lt"/>
              <a:ea typeface="+mn-ea"/>
              <a:cs typeface="+mn-cs"/>
            </a:rPr>
            <a:t>KFMA values </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Cash Interest Paid: </a:t>
          </a:r>
          <a:r>
            <a:rPr lang="en-US" sz="1100" b="0" baseline="0">
              <a:solidFill>
                <a:schemeClr val="dk1"/>
              </a:solidFill>
              <a:effectLst/>
              <a:latin typeface="+mn-lt"/>
              <a:ea typeface="+mn-ea"/>
              <a:cs typeface="+mn-cs"/>
            </a:rPr>
            <a:t>KFMA value</a:t>
          </a:r>
        </a:p>
        <a:p>
          <a:pPr eaLnBrk="1" fontAlgn="auto" latinLnBrk="0" hangingPunct="1"/>
          <a:r>
            <a:rPr lang="en-US" sz="1100" b="1" baseline="0">
              <a:solidFill>
                <a:schemeClr val="dk1"/>
              </a:solidFill>
              <a:effectLst/>
              <a:latin typeface="+mn-lt"/>
              <a:ea typeface="+mn-ea"/>
              <a:cs typeface="+mn-cs"/>
            </a:rPr>
            <a:t>Other Variable Costs: </a:t>
          </a:r>
          <a:r>
            <a:rPr lang="en-US" sz="1100" b="0" baseline="0">
              <a:solidFill>
                <a:schemeClr val="dk1"/>
              </a:solidFill>
              <a:effectLst/>
              <a:latin typeface="+mn-lt"/>
              <a:ea typeface="+mn-ea"/>
              <a:cs typeface="+mn-cs"/>
            </a:rPr>
            <a:t>Rough sum of all other KFMA variable costs, includes fees/publications/travel, conservation, and auto expense.</a:t>
          </a:r>
        </a:p>
        <a:p>
          <a:pPr eaLnBrk="1" fontAlgn="auto" latinLnBrk="0" hangingPunct="1"/>
          <a:r>
            <a:rPr lang="en-US" sz="1100" b="1" baseline="0">
              <a:solidFill>
                <a:schemeClr val="dk1"/>
              </a:solidFill>
              <a:effectLst/>
              <a:latin typeface="+mn-lt"/>
              <a:ea typeface="+mn-ea"/>
              <a:cs typeface="+mn-cs"/>
            </a:rPr>
            <a:t>Depreciation: </a:t>
          </a:r>
          <a:r>
            <a:rPr lang="en-US" sz="1100" b="0" baseline="0">
              <a:solidFill>
                <a:schemeClr val="dk1"/>
              </a:solidFill>
              <a:effectLst/>
              <a:latin typeface="+mn-lt"/>
              <a:ea typeface="+mn-ea"/>
              <a:cs typeface="+mn-cs"/>
            </a:rPr>
            <a:t>KFMA value</a:t>
          </a:r>
        </a:p>
        <a:p>
          <a:pPr eaLnBrk="1" fontAlgn="auto" latinLnBrk="0" hangingPunct="1"/>
          <a:r>
            <a:rPr lang="en-US" sz="1100" b="1" baseline="0">
              <a:solidFill>
                <a:schemeClr val="dk1"/>
              </a:solidFill>
              <a:effectLst/>
              <a:latin typeface="+mn-lt"/>
              <a:ea typeface="+mn-ea"/>
              <a:cs typeface="+mn-cs"/>
            </a:rPr>
            <a:t>Taxes</a:t>
          </a:r>
          <a:r>
            <a:rPr lang="en-US" sz="1100" b="0" baseline="0">
              <a:solidFill>
                <a:schemeClr val="dk1"/>
              </a:solidFill>
              <a:effectLst/>
              <a:latin typeface="+mn-lt"/>
              <a:ea typeface="+mn-ea"/>
              <a:cs typeface="+mn-cs"/>
            </a:rPr>
            <a:t>: KFMA </a:t>
          </a:r>
        </a:p>
        <a:p>
          <a:pPr eaLnBrk="1" fontAlgn="auto" latinLnBrk="0" hangingPunct="1"/>
          <a:r>
            <a:rPr lang="en-US" sz="1100" b="1" baseline="0">
              <a:solidFill>
                <a:schemeClr val="dk1"/>
              </a:solidFill>
              <a:effectLst/>
              <a:latin typeface="+mn-lt"/>
              <a:ea typeface="+mn-ea"/>
              <a:cs typeface="+mn-cs"/>
            </a:rPr>
            <a:t>Farm/Livestock Insurance: </a:t>
          </a:r>
          <a:r>
            <a:rPr lang="en-US" sz="1100" b="0" baseline="0">
              <a:solidFill>
                <a:schemeClr val="dk1"/>
              </a:solidFill>
              <a:effectLst/>
              <a:latin typeface="+mn-lt"/>
              <a:ea typeface="+mn-ea"/>
              <a:cs typeface="+mn-cs"/>
            </a:rPr>
            <a:t>KFMA value for general farm insurance.</a:t>
          </a:r>
        </a:p>
        <a:p>
          <a:pPr eaLnBrk="1" fontAlgn="auto" latinLnBrk="0" hangingPunct="1"/>
          <a:r>
            <a:rPr lang="en-US" sz="1100" b="1" baseline="0">
              <a:solidFill>
                <a:schemeClr val="dk1"/>
              </a:solidFill>
              <a:effectLst/>
              <a:latin typeface="+mn-lt"/>
              <a:ea typeface="+mn-ea"/>
              <a:cs typeface="+mn-cs"/>
            </a:rPr>
            <a:t>Opportunity Cost of Investment: </a:t>
          </a:r>
          <a:r>
            <a:rPr lang="en-US" sz="1100" b="0" baseline="0">
              <a:solidFill>
                <a:schemeClr val="dk1"/>
              </a:solidFill>
              <a:effectLst/>
              <a:latin typeface="+mn-lt"/>
              <a:ea typeface="+mn-ea"/>
              <a:cs typeface="+mn-cs"/>
            </a:rPr>
            <a:t>KFMA Interest charge-does not represent cash interest paid, rather a measure to reflect the interest that could have been earned had the investment been made elsewhere.</a:t>
          </a:r>
        </a:p>
        <a:p>
          <a:pPr eaLnBrk="1" fontAlgn="auto" latinLnBrk="0" hangingPunct="1"/>
          <a:endParaRPr lang="en-US"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900" b="0" i="1">
              <a:solidFill>
                <a:schemeClr val="dk1"/>
              </a:solidFill>
              <a:effectLst/>
              <a:latin typeface="+mn-lt"/>
              <a:ea typeface="+mn-ea"/>
              <a:cs typeface="+mn-cs"/>
            </a:rPr>
            <a:t>*Note,</a:t>
          </a:r>
          <a:r>
            <a:rPr lang="en-US" sz="900" b="0" i="1" baseline="0">
              <a:solidFill>
                <a:schemeClr val="dk1"/>
              </a:solidFill>
              <a:effectLst/>
              <a:latin typeface="+mn-lt"/>
              <a:ea typeface="+mn-ea"/>
              <a:cs typeface="+mn-cs"/>
            </a:rPr>
            <a:t> KFMA values used reflect 10 farms with an average of 287 head.  </a:t>
          </a:r>
          <a:endParaRPr lang="en-US" sz="900">
            <a:effectLst/>
          </a:endParaRPr>
        </a:p>
        <a:p>
          <a:pPr eaLnBrk="1" fontAlgn="auto" latinLnBrk="0" hangingPunct="1"/>
          <a:endParaRPr lang="en-US" b="1">
            <a:effectLst/>
          </a:endParaRPr>
        </a:p>
        <a:p>
          <a:pPr eaLnBrk="1" fontAlgn="auto" latinLnBrk="0" hangingPunct="1"/>
          <a:endParaRPr lang="en-US">
            <a:effectLst/>
          </a:endParaRPr>
        </a:p>
      </xdr:txBody>
    </xdr:sp>
    <xdr:clientData/>
  </xdr:twoCellAnchor>
  <mc:AlternateContent xmlns:mc="http://schemas.openxmlformats.org/markup-compatibility/2006">
    <mc:Choice xmlns:a14="http://schemas.microsoft.com/office/drawing/2010/main" Requires="a14">
      <xdr:twoCellAnchor>
        <xdr:from>
          <xdr:col>11</xdr:col>
          <xdr:colOff>19050</xdr:colOff>
          <xdr:row>2</xdr:row>
          <xdr:rowOff>171450</xdr:rowOff>
        </xdr:from>
        <xdr:to>
          <xdr:col>14</xdr:col>
          <xdr:colOff>428625</xdr:colOff>
          <xdr:row>4</xdr:row>
          <xdr:rowOff>114300</xdr:rowOff>
        </xdr:to>
        <xdr:sp macro="" textlink="">
          <xdr:nvSpPr>
            <xdr:cNvPr id="13313" name="Button 1" hidden="1">
              <a:extLst>
                <a:ext uri="{63B3BB69-23CF-44E3-9099-C40C66FF867C}">
                  <a14:compatExt spid="_x0000_s1331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rPr>
                <a:t>Print Budget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600075</xdr:colOff>
          <xdr:row>5</xdr:row>
          <xdr:rowOff>152400</xdr:rowOff>
        </xdr:from>
        <xdr:to>
          <xdr:col>14</xdr:col>
          <xdr:colOff>438150</xdr:colOff>
          <xdr:row>7</xdr:row>
          <xdr:rowOff>95250</xdr:rowOff>
        </xdr:to>
        <xdr:sp macro="" textlink="">
          <xdr:nvSpPr>
            <xdr:cNvPr id="13314" name="Button 2" hidden="1">
              <a:extLst>
                <a:ext uri="{63B3BB69-23CF-44E3-9099-C40C66FF867C}">
                  <a14:compatExt spid="_x0000_s1331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rPr>
                <a:t>Print Budget and Explanation Pages</a:t>
              </a:r>
            </a:p>
          </xdr:txBody>
        </xdr:sp>
        <xdr:clientData fPrintsWithSheet="0"/>
      </xdr:twoCellAnchor>
    </mc:Choice>
    <mc:Fallback/>
  </mc:AlternateContent>
  <xdr:twoCellAnchor>
    <xdr:from>
      <xdr:col>0</xdr:col>
      <xdr:colOff>25977</xdr:colOff>
      <xdr:row>129</xdr:row>
      <xdr:rowOff>103909</xdr:rowOff>
    </xdr:from>
    <xdr:to>
      <xdr:col>9</xdr:col>
      <xdr:colOff>659174</xdr:colOff>
      <xdr:row>133</xdr:row>
      <xdr:rowOff>166253</xdr:rowOff>
    </xdr:to>
    <xdr:sp macro="" textlink="">
      <xdr:nvSpPr>
        <xdr:cNvPr id="7" name="TextBox 6"/>
        <xdr:cNvSpPr txBox="1"/>
      </xdr:nvSpPr>
      <xdr:spPr>
        <a:xfrm>
          <a:off x="25977" y="25925318"/>
          <a:ext cx="6313561" cy="824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685800" algn="l"/>
              <a:tab pos="1371600" algn="l"/>
              <a:tab pos="1828800" algn="l"/>
              <a:tab pos="2286000" algn="l"/>
            </a:tabLst>
          </a:pPr>
          <a:r>
            <a:rPr lang="en-US" sz="1000"/>
            <a:t>				</a:t>
          </a:r>
          <a:r>
            <a:rPr lang="en-US" sz="1000" u="sng"/>
            <a:t>Contributors:</a:t>
          </a:r>
        </a:p>
        <a:p>
          <a:pPr>
            <a:tabLst>
              <a:tab pos="685800" algn="l"/>
              <a:tab pos="1371600" algn="l"/>
              <a:tab pos="1828800" algn="l"/>
              <a:tab pos="2286000" algn="l"/>
            </a:tabLst>
          </a:pPr>
          <a:r>
            <a:rPr lang="en-US" sz="1000"/>
            <a:t>Glynn</a:t>
          </a:r>
          <a:r>
            <a:rPr lang="en-US" sz="1000" baseline="0"/>
            <a:t> Tonsor	               		Robin Reid		The K-State Beef Team</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Associate</a:t>
          </a:r>
          <a:r>
            <a:rPr lang="en-US" sz="1000" baseline="0"/>
            <a:t> Professor	</a:t>
          </a:r>
          <a:r>
            <a:rPr lang="en-US" sz="1000"/>
            <a:t>Extension Associate	</a:t>
          </a:r>
          <a:r>
            <a:rPr lang="en-US" sz="1000" baseline="0"/>
            <a:t>www.KSUBeef.org</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KSU-Agricultural Economics</a:t>
          </a:r>
          <a:r>
            <a:rPr lang="en-US" sz="1000" baseline="0"/>
            <a:t>            	</a:t>
          </a:r>
          <a:r>
            <a:rPr lang="en-US" sz="1000">
              <a:solidFill>
                <a:schemeClr val="dk1"/>
              </a:solidFill>
              <a:effectLst/>
              <a:latin typeface="+mn-lt"/>
              <a:ea typeface="+mn-ea"/>
              <a:cs typeface="+mn-cs"/>
            </a:rPr>
            <a:t>KSU-Agricultural Economics</a:t>
          </a:r>
          <a:r>
            <a:rPr lang="en-US" sz="1000" baseline="0">
              <a:solidFill>
                <a:schemeClr val="dk1"/>
              </a:solidFill>
              <a:effectLst/>
              <a:latin typeface="+mn-lt"/>
              <a:ea typeface="+mn-ea"/>
              <a:cs typeface="+mn-cs"/>
            </a:rPr>
            <a:t>             </a:t>
          </a:r>
          <a:endParaRPr lang="en-US" sz="1000">
            <a:effectLst/>
          </a:endParaRPr>
        </a:p>
        <a:p>
          <a:endParaRPr lang="en-US" sz="1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46</xdr:row>
      <xdr:rowOff>19048</xdr:rowOff>
    </xdr:from>
    <xdr:to>
      <xdr:col>2</xdr:col>
      <xdr:colOff>503555</xdr:colOff>
      <xdr:row>88</xdr:row>
      <xdr:rowOff>1111250</xdr:rowOff>
    </xdr:to>
    <xdr:sp macro="" textlink="">
      <xdr:nvSpPr>
        <xdr:cNvPr id="2" name="TextBox 1"/>
        <xdr:cNvSpPr txBox="1"/>
      </xdr:nvSpPr>
      <xdr:spPr>
        <a:xfrm>
          <a:off x="9525" y="10067923"/>
          <a:ext cx="3389630" cy="90932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365760" algn="l"/>
            </a:tabLst>
          </a:pPr>
          <a:r>
            <a:rPr lang="en-US" sz="1100"/>
            <a:t>	</a:t>
          </a:r>
          <a:r>
            <a:rPr lang="en-US" sz="1100" baseline="0"/>
            <a:t>K-State's Agricultural Economics Department annually publishes </a:t>
          </a:r>
          <a:r>
            <a:rPr lang="en-US" sz="1100" i="1" baseline="0"/>
            <a:t>Farm Management Guides </a:t>
          </a:r>
          <a:r>
            <a:rPr lang="en-US" sz="1100" baseline="0"/>
            <a:t>to estimate the current profitability of different agricultural enterprises.  A new format for livestock enterprises this year allows the user to change certain key inputs to cater the budget to their production situation.  Rainfall, temperature, genetics, local cash prices, and a variety of other factors makes budgeting to the entire state of Kansas difficult.  While defaults in the spreadsheet are research-based estimates for the state, users should enter their own prices and costs using the cells in </a:t>
          </a:r>
          <a:r>
            <a:rPr lang="en-US" sz="1100" b="1" baseline="0">
              <a:solidFill>
                <a:srgbClr val="0070C0"/>
              </a:solidFill>
            </a:rPr>
            <a:t>blue</a:t>
          </a:r>
          <a:r>
            <a:rPr lang="en-US" sz="1100" baseline="0"/>
            <a:t>.</a:t>
          </a:r>
        </a:p>
        <a:p>
          <a:pPr eaLnBrk="1" fontAlgn="auto" latinLnBrk="0" hangingPunct="1">
            <a:tabLst>
              <a:tab pos="457200" algn="l"/>
            </a:tabLst>
          </a:pPr>
          <a:r>
            <a:rPr lang="en-US" sz="1100" baseline="0"/>
            <a:t>	The Kansas Farm Management Association (KFMA) is frequently cited as an informational source for production and cost estimates.  Trained K-State economists work with these farms to keep consistent records, do performance analysis, and state benchmarking.  </a:t>
          </a:r>
          <a:r>
            <a:rPr lang="en-US" sz="1100" baseline="0">
              <a:solidFill>
                <a:schemeClr val="dk1"/>
              </a:solidFill>
              <a:effectLst/>
              <a:latin typeface="+mn-lt"/>
              <a:ea typeface="+mn-ea"/>
              <a:cs typeface="+mn-cs"/>
            </a:rPr>
            <a:t>Variable Costs are entered on a per cwt basis multiplied by CWT gained. This way as starting and ending weights are changed, these costs adjust accordingly.  Default costs in the tool are based on 10-year KFMA  trends, rounded to the nearest dollar.</a:t>
          </a:r>
          <a:endParaRPr lang="en-US">
            <a:effectLst/>
          </a:endParaRPr>
        </a:p>
        <a:p>
          <a:pPr>
            <a:tabLst>
              <a:tab pos="365760" algn="l"/>
            </a:tabLst>
          </a:pPr>
          <a:r>
            <a:rPr lang="en-US" sz="1100" baseline="0"/>
            <a:t>	Three different sets of price forecasts are available in the spreadsheet.  By clicking the dropdown menu at the top of the budget, a user can select "Current Prices", "One Year Out Prices", or "Five Year Out Prices".  All price assumptions can be viewed in the </a:t>
          </a:r>
          <a:r>
            <a:rPr lang="en-US" sz="1100" i="1" baseline="0"/>
            <a:t>Prices </a:t>
          </a:r>
          <a:r>
            <a:rPr lang="en-US" sz="1100" baseline="0"/>
            <a:t>tab.  </a:t>
          </a:r>
        </a:p>
        <a:p>
          <a:pPr>
            <a:tabLst>
              <a:tab pos="365760" algn="l"/>
            </a:tabLst>
          </a:pPr>
          <a:r>
            <a:rPr lang="en-US" sz="1100" baseline="0"/>
            <a:t>	Feed assumptions can be viewed in the </a:t>
          </a:r>
          <a:r>
            <a:rPr lang="en-US" sz="1100" i="1" baseline="0"/>
            <a:t>Feed</a:t>
          </a:r>
          <a:r>
            <a:rPr lang="en-US" sz="1100" baseline="0"/>
            <a:t> tab.  Harvested forages, grain/supplements, and mineral are on a head per day basis and will be multiplied by the days in the finishing lot to determine total feed amounts.</a:t>
          </a:r>
        </a:p>
        <a:p>
          <a:pPr>
            <a:tabLst>
              <a:tab pos="365760" algn="l"/>
            </a:tabLst>
          </a:pPr>
          <a:endParaRPr lang="en-US" sz="1100" baseline="0"/>
        </a:p>
        <a:p>
          <a:pPr>
            <a:tabLst>
              <a:tab pos="365760" algn="l"/>
            </a:tabLst>
          </a:pPr>
          <a:r>
            <a:rPr lang="en-US" sz="1100" u="sng" baseline="0"/>
            <a:t>Production Efficiency Measures</a:t>
          </a:r>
        </a:p>
        <a:p>
          <a:pPr>
            <a:tabLst>
              <a:tab pos="365760" algn="l"/>
            </a:tabLst>
          </a:pPr>
          <a:r>
            <a:rPr lang="en-US" sz="1100" b="1" baseline="0"/>
            <a:t>Death Loss: </a:t>
          </a:r>
          <a:r>
            <a:rPr lang="en-US" sz="1100" b="0" baseline="0"/>
            <a:t>Percentage of animals normally lost.</a:t>
          </a: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Days in Feed &amp; Average Daily Gain: </a:t>
          </a:r>
          <a:r>
            <a:rPr lang="en-US" sz="1100" b="0" baseline="0">
              <a:solidFill>
                <a:schemeClr val="dk1"/>
              </a:solidFill>
              <a:effectLst/>
              <a:latin typeface="+mn-lt"/>
              <a:ea typeface="+mn-ea"/>
              <a:cs typeface="+mn-cs"/>
            </a:rPr>
            <a:t>Will be used to calculate ending weight and be multiplied by feed inputs which are on a per day basis.  ADG is a large driver of returns, so should be adjusted to fit the production setting.  </a:t>
          </a: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baseline="0">
            <a:solidFill>
              <a:srgbClr val="FF0000"/>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Gross Return</a:t>
          </a:r>
          <a:endParaRPr lang="en-US">
            <a:effectLst/>
          </a:endParaRPr>
        </a:p>
        <a:p>
          <a:pPr eaLnBrk="1" fontAlgn="auto" latinLnBrk="0" hangingPunct="1"/>
          <a:r>
            <a:rPr lang="en-US" sz="1100" b="1" baseline="0">
              <a:solidFill>
                <a:schemeClr val="dk1"/>
              </a:solidFill>
              <a:effectLst/>
              <a:latin typeface="+mn-lt"/>
              <a:ea typeface="+mn-ea"/>
              <a:cs typeface="+mn-cs"/>
            </a:rPr>
            <a:t>Fed Animal Sale: </a:t>
          </a:r>
          <a:r>
            <a:rPr lang="en-US" sz="1100" b="0" baseline="0">
              <a:solidFill>
                <a:schemeClr val="dk1"/>
              </a:solidFill>
              <a:effectLst/>
              <a:latin typeface="+mn-lt"/>
              <a:ea typeface="+mn-ea"/>
              <a:cs typeface="+mn-cs"/>
            </a:rPr>
            <a:t>Default is based upon 5-area average Steer price, adjust if feeding heifers.</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Purchase Price: </a:t>
          </a:r>
          <a:r>
            <a:rPr lang="en-US" sz="1100" b="0" baseline="0">
              <a:solidFill>
                <a:schemeClr val="dk1"/>
              </a:solidFill>
              <a:effectLst/>
              <a:latin typeface="+mn-lt"/>
              <a:ea typeface="+mn-ea"/>
              <a:cs typeface="+mn-cs"/>
            </a:rPr>
            <a:t>Default price is based upon Feeder Steer price, adjust if feeding heifers.</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u="sng"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a:effectLst/>
          </a:endParaRPr>
        </a:p>
        <a:p>
          <a:pPr>
            <a:tabLst>
              <a:tab pos="365760" algn="l"/>
            </a:tabLst>
          </a:pPr>
          <a:endParaRPr lang="en-US" sz="1100" b="1"/>
        </a:p>
      </xdr:txBody>
    </xdr:sp>
    <xdr:clientData/>
  </xdr:twoCellAnchor>
  <xdr:twoCellAnchor>
    <xdr:from>
      <xdr:col>2</xdr:col>
      <xdr:colOff>501651</xdr:colOff>
      <xdr:row>46</xdr:row>
      <xdr:rowOff>19048</xdr:rowOff>
    </xdr:from>
    <xdr:to>
      <xdr:col>9</xdr:col>
      <xdr:colOff>995681</xdr:colOff>
      <xdr:row>88</xdr:row>
      <xdr:rowOff>1143000</xdr:rowOff>
    </xdr:to>
    <xdr:sp macro="" textlink="">
      <xdr:nvSpPr>
        <xdr:cNvPr id="3" name="TextBox 2"/>
        <xdr:cNvSpPr txBox="1"/>
      </xdr:nvSpPr>
      <xdr:spPr>
        <a:xfrm>
          <a:off x="3397251" y="10067923"/>
          <a:ext cx="3380105" cy="9124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Death Loss: </a:t>
          </a:r>
          <a:r>
            <a:rPr lang="en-US" sz="1100" b="0" baseline="0">
              <a:solidFill>
                <a:schemeClr val="dk1"/>
              </a:solidFill>
              <a:effectLst/>
              <a:latin typeface="+mn-lt"/>
              <a:ea typeface="+mn-ea"/>
              <a:cs typeface="+mn-cs"/>
            </a:rPr>
            <a:t>Death Loss percentage is multiplied by the purchase animal price to determine the deduction.  </a:t>
          </a:r>
          <a:endParaRPr lang="en-US">
            <a:effectLst/>
          </a:endParaRPr>
        </a:p>
        <a:p>
          <a:pPr eaLnBrk="1" fontAlgn="auto" latinLnBrk="0" hangingPunct="1"/>
          <a:endParaRPr lang="en-US" sz="900" u="sng" baseline="0">
            <a:solidFill>
              <a:schemeClr val="dk1"/>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Variable Costs</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Harvested Forage: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daily ration of hay, silage, and alfalfa gets combined and multiplied by days in the finishing lot.  The price is weighted based on the proportions of each forage. </a:t>
          </a:r>
          <a:endParaRPr lang="en-US" sz="1100" b="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Grain/Protein Supplements: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daily ration of corn, soybean meal, and distiller's grains gets combined and multiplied by days in the finishing lot. The price is weighted based on the proportions of each feedstuff.</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Mineral: </a:t>
          </a:r>
          <a:r>
            <a:rPr lang="en-US" sz="1100" b="0" baseline="0">
              <a:solidFill>
                <a:schemeClr val="dk1"/>
              </a:solidFill>
              <a:effectLst/>
              <a:latin typeface="+mn-lt"/>
              <a:ea typeface="+mn-ea"/>
              <a:cs typeface="+mn-cs"/>
            </a:rPr>
            <a:t>In the Feed tab, a daily amount is entered which is multiplied by days in the finishing lot.</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Labor:  </a:t>
          </a:r>
          <a:r>
            <a:rPr lang="en-US" sz="1100" b="0" baseline="0">
              <a:solidFill>
                <a:schemeClr val="dk1"/>
              </a:solidFill>
              <a:effectLst/>
              <a:latin typeface="+mn-lt"/>
              <a:ea typeface="+mn-ea"/>
              <a:cs typeface="+mn-cs"/>
            </a:rPr>
            <a:t>Researched labor per animal is .15 hours per month. KFMA </a:t>
          </a:r>
          <a:r>
            <a:rPr lang="en-US" sz="1100" b="0" i="1" baseline="0">
              <a:solidFill>
                <a:schemeClr val="dk1"/>
              </a:solidFill>
              <a:effectLst/>
              <a:latin typeface="+mn-lt"/>
              <a:ea typeface="+mn-ea"/>
              <a:cs typeface="+mn-cs"/>
            </a:rPr>
            <a:t>Labor Hired + Unpaid Operator Labor </a:t>
          </a:r>
          <a:r>
            <a:rPr lang="en-US" sz="1100" b="0" baseline="0">
              <a:solidFill>
                <a:schemeClr val="dk1"/>
              </a:solidFill>
              <a:effectLst/>
              <a:latin typeface="+mn-lt"/>
              <a:ea typeface="+mn-ea"/>
              <a:cs typeface="+mn-cs"/>
            </a:rPr>
            <a:t>determined a dollar per hour estimate for all cattle budgets.</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Vet Medicine/Drugs:  </a:t>
          </a:r>
          <a:r>
            <a:rPr lang="en-US" sz="1100" b="0" baseline="0">
              <a:solidFill>
                <a:schemeClr val="dk1"/>
              </a:solidFill>
              <a:effectLst/>
              <a:latin typeface="+mn-lt"/>
              <a:ea typeface="+mn-ea"/>
              <a:cs typeface="+mn-cs"/>
            </a:rPr>
            <a:t>KFMA value</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Livestock Marketing: </a:t>
          </a:r>
          <a:r>
            <a:rPr lang="en-US" sz="1100" b="0" baseline="0">
              <a:solidFill>
                <a:schemeClr val="dk1"/>
              </a:solidFill>
              <a:effectLst/>
              <a:latin typeface="+mn-lt"/>
              <a:ea typeface="+mn-ea"/>
              <a:cs typeface="+mn-cs"/>
            </a:rPr>
            <a:t>KFMA value which includes trucking and sale commissions.</a:t>
          </a:r>
        </a:p>
        <a:p>
          <a:pPr eaLnBrk="1" fontAlgn="auto" latinLnBrk="0" hangingPunct="1"/>
          <a:r>
            <a:rPr lang="en-US" sz="1100" b="1" baseline="0">
              <a:solidFill>
                <a:schemeClr val="dk1"/>
              </a:solidFill>
              <a:effectLst/>
              <a:latin typeface="+mn-lt"/>
              <a:ea typeface="+mn-ea"/>
              <a:cs typeface="+mn-cs"/>
            </a:rPr>
            <a:t>Utilities, Gas, Fuel, Oil: </a:t>
          </a:r>
          <a:r>
            <a:rPr lang="en-US" sz="1100" b="0" baseline="0">
              <a:solidFill>
                <a:schemeClr val="dk1"/>
              </a:solidFill>
              <a:effectLst/>
              <a:latin typeface="+mn-lt"/>
              <a:ea typeface="+mn-ea"/>
              <a:cs typeface="+mn-cs"/>
            </a:rPr>
            <a:t>KFMA values which includes fuel &amp; oil for equipment, and the enterprises's share of telephone, electricity, gas, and water expenses.  </a:t>
          </a:r>
          <a:endParaRPr lang="en-US">
            <a:effectLst/>
          </a:endParaRPr>
        </a:p>
        <a:p>
          <a:pPr eaLnBrk="1" fontAlgn="auto" latinLnBrk="0" hangingPunct="1"/>
          <a:r>
            <a:rPr lang="en-US" sz="1100" b="1" baseline="0">
              <a:solidFill>
                <a:schemeClr val="dk1"/>
              </a:solidFill>
              <a:effectLst/>
              <a:latin typeface="+mn-lt"/>
              <a:ea typeface="+mn-ea"/>
              <a:cs typeface="+mn-cs"/>
            </a:rPr>
            <a:t>Machinery, Facility/Equip. Repairs: </a:t>
          </a:r>
          <a:r>
            <a:rPr lang="en-US" sz="1100" b="0" baseline="0">
              <a:solidFill>
                <a:schemeClr val="dk1"/>
              </a:solidFill>
              <a:effectLst/>
              <a:latin typeface="+mn-lt"/>
              <a:ea typeface="+mn-ea"/>
              <a:cs typeface="+mn-cs"/>
            </a:rPr>
            <a:t>KFMA </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Cash Interest Paid: </a:t>
          </a:r>
          <a:r>
            <a:rPr lang="en-US" sz="1100" b="0" baseline="0">
              <a:solidFill>
                <a:schemeClr val="dk1"/>
              </a:solidFill>
              <a:effectLst/>
              <a:latin typeface="+mn-lt"/>
              <a:ea typeface="+mn-ea"/>
              <a:cs typeface="+mn-cs"/>
            </a:rPr>
            <a:t>KFMA value</a:t>
          </a:r>
        </a:p>
        <a:p>
          <a:pPr eaLnBrk="1" fontAlgn="auto" latinLnBrk="0" hangingPunct="1"/>
          <a:r>
            <a:rPr lang="en-US" sz="1100" b="1" baseline="0">
              <a:solidFill>
                <a:schemeClr val="dk1"/>
              </a:solidFill>
              <a:effectLst/>
              <a:latin typeface="+mn-lt"/>
              <a:ea typeface="+mn-ea"/>
              <a:cs typeface="+mn-cs"/>
            </a:rPr>
            <a:t>Other Variable Costs: </a:t>
          </a:r>
          <a:r>
            <a:rPr lang="en-US" sz="1100" b="0" baseline="0">
              <a:solidFill>
                <a:schemeClr val="dk1"/>
              </a:solidFill>
              <a:effectLst/>
              <a:latin typeface="+mn-lt"/>
              <a:ea typeface="+mn-ea"/>
              <a:cs typeface="+mn-cs"/>
            </a:rPr>
            <a:t>Rough sum of all other KFMA variable costs, includes fees/publications/travel, building rent, conservation, and auto expense.</a:t>
          </a:r>
        </a:p>
        <a:p>
          <a:pPr eaLnBrk="1" fontAlgn="auto" latinLnBrk="0" hangingPunct="1"/>
          <a:r>
            <a:rPr lang="en-US" sz="1100" b="1" baseline="0">
              <a:solidFill>
                <a:schemeClr val="dk1"/>
              </a:solidFill>
              <a:effectLst/>
              <a:latin typeface="+mn-lt"/>
              <a:ea typeface="+mn-ea"/>
              <a:cs typeface="+mn-cs"/>
            </a:rPr>
            <a:t>Depreciation: </a:t>
          </a:r>
          <a:r>
            <a:rPr lang="en-US" sz="1100" b="0" baseline="0">
              <a:solidFill>
                <a:schemeClr val="dk1"/>
              </a:solidFill>
              <a:effectLst/>
              <a:latin typeface="+mn-lt"/>
              <a:ea typeface="+mn-ea"/>
              <a:cs typeface="+mn-cs"/>
            </a:rPr>
            <a:t>KFMA value</a:t>
          </a:r>
        </a:p>
        <a:p>
          <a:pPr eaLnBrk="1" fontAlgn="auto" latinLnBrk="0" hangingPunct="1"/>
          <a:r>
            <a:rPr lang="en-US" sz="1100" b="1" baseline="0">
              <a:solidFill>
                <a:schemeClr val="dk1"/>
              </a:solidFill>
              <a:effectLst/>
              <a:latin typeface="+mn-lt"/>
              <a:ea typeface="+mn-ea"/>
              <a:cs typeface="+mn-cs"/>
            </a:rPr>
            <a:t>Taxes</a:t>
          </a:r>
          <a:r>
            <a:rPr lang="en-US" sz="1100" b="0" baseline="0">
              <a:solidFill>
                <a:schemeClr val="dk1"/>
              </a:solidFill>
              <a:effectLst/>
              <a:latin typeface="+mn-lt"/>
              <a:ea typeface="+mn-ea"/>
              <a:cs typeface="+mn-cs"/>
            </a:rPr>
            <a:t>: KFMA value </a:t>
          </a:r>
        </a:p>
        <a:p>
          <a:pPr eaLnBrk="1" fontAlgn="auto" latinLnBrk="0" hangingPunct="1"/>
          <a:r>
            <a:rPr lang="en-US" sz="1100" b="1" baseline="0">
              <a:solidFill>
                <a:schemeClr val="dk1"/>
              </a:solidFill>
              <a:effectLst/>
              <a:latin typeface="+mn-lt"/>
              <a:ea typeface="+mn-ea"/>
              <a:cs typeface="+mn-cs"/>
            </a:rPr>
            <a:t>Farm/Livestock Insurance: </a:t>
          </a:r>
          <a:r>
            <a:rPr lang="en-US" sz="1100" b="0" baseline="0">
              <a:solidFill>
                <a:schemeClr val="dk1"/>
              </a:solidFill>
              <a:effectLst/>
              <a:latin typeface="+mn-lt"/>
              <a:ea typeface="+mn-ea"/>
              <a:cs typeface="+mn-cs"/>
            </a:rPr>
            <a:t>KFMA value for general farm insurance</a:t>
          </a:r>
        </a:p>
        <a:p>
          <a:pPr eaLnBrk="1" fontAlgn="auto" latinLnBrk="0" hangingPunct="1"/>
          <a:r>
            <a:rPr lang="en-US" sz="1100" b="1" baseline="0">
              <a:solidFill>
                <a:schemeClr val="dk1"/>
              </a:solidFill>
              <a:effectLst/>
              <a:latin typeface="+mn-lt"/>
              <a:ea typeface="+mn-ea"/>
              <a:cs typeface="+mn-cs"/>
            </a:rPr>
            <a:t>Opportunity Cost of Investment: </a:t>
          </a:r>
          <a:r>
            <a:rPr lang="en-US" sz="1100" b="0" baseline="0">
              <a:solidFill>
                <a:schemeClr val="dk1"/>
              </a:solidFill>
              <a:effectLst/>
              <a:latin typeface="+mn-lt"/>
              <a:ea typeface="+mn-ea"/>
              <a:cs typeface="+mn-cs"/>
            </a:rPr>
            <a:t>KFMA Interest charge-does not represent cash interest paid, rather a measure to reflect the interest that could have been earned had the investment been made elsewhere.</a:t>
          </a:r>
        </a:p>
        <a:p>
          <a:pPr eaLnBrk="1" fontAlgn="auto" latinLnBrk="0" hangingPunct="1"/>
          <a:endParaRPr lang="en-US" sz="400">
            <a:effectLst/>
          </a:endParaRPr>
        </a:p>
        <a:p>
          <a:pPr eaLnBrk="1" fontAlgn="auto" latinLnBrk="0" hangingPunct="1"/>
          <a:endParaRPr lang="en-US" sz="400">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900" b="0" i="1">
              <a:solidFill>
                <a:schemeClr val="dk1"/>
              </a:solidFill>
              <a:effectLst/>
              <a:latin typeface="+mn-lt"/>
              <a:ea typeface="+mn-ea"/>
              <a:cs typeface="+mn-cs"/>
            </a:rPr>
            <a:t>*Note,</a:t>
          </a:r>
          <a:r>
            <a:rPr lang="en-US" sz="900" b="0" i="1" baseline="0">
              <a:solidFill>
                <a:schemeClr val="dk1"/>
              </a:solidFill>
              <a:effectLst/>
              <a:latin typeface="+mn-lt"/>
              <a:ea typeface="+mn-ea"/>
              <a:cs typeface="+mn-cs"/>
            </a:rPr>
            <a:t> KFMA values used reflect 19 farms with an average of 1,085 head.  </a:t>
          </a:r>
          <a:endParaRPr lang="en-US" sz="900">
            <a:effectLst/>
          </a:endParaRPr>
        </a:p>
        <a:p>
          <a:pPr eaLnBrk="1" fontAlgn="auto" latinLnBrk="0" hangingPunct="1"/>
          <a:endParaRPr lang="en-US">
            <a:effectLst/>
          </a:endParaRPr>
        </a:p>
      </xdr:txBody>
    </xdr:sp>
    <xdr:clientData/>
  </xdr:twoCellAnchor>
  <xdr:oneCellAnchor>
    <xdr:from>
      <xdr:col>14</xdr:col>
      <xdr:colOff>428625</xdr:colOff>
      <xdr:row>15</xdr:row>
      <xdr:rowOff>76200</xdr:rowOff>
    </xdr:from>
    <xdr:ext cx="184731" cy="264560"/>
    <xdr:sp macro="" textlink="">
      <xdr:nvSpPr>
        <xdr:cNvPr id="7" name="TextBox 6"/>
        <xdr:cNvSpPr txBox="1"/>
      </xdr:nvSpPr>
      <xdr:spPr>
        <a:xfrm>
          <a:off x="9944100"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10</xdr:col>
          <xdr:colOff>609600</xdr:colOff>
          <xdr:row>4</xdr:row>
          <xdr:rowOff>38100</xdr:rowOff>
        </xdr:from>
        <xdr:to>
          <xdr:col>14</xdr:col>
          <xdr:colOff>447675</xdr:colOff>
          <xdr:row>6</xdr:row>
          <xdr:rowOff>9525</xdr:rowOff>
        </xdr:to>
        <xdr:sp macro="" textlink="">
          <xdr:nvSpPr>
            <xdr:cNvPr id="16405" name="Button 21" hidden="1">
              <a:extLst>
                <a:ext uri="{63B3BB69-23CF-44E3-9099-C40C66FF867C}">
                  <a14:compatExt spid="_x0000_s1640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rPr>
                <a:t>Print Budget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180975</xdr:rowOff>
        </xdr:from>
        <xdr:to>
          <xdr:col>14</xdr:col>
          <xdr:colOff>466725</xdr:colOff>
          <xdr:row>7</xdr:row>
          <xdr:rowOff>152400</xdr:rowOff>
        </xdr:to>
        <xdr:sp macro="" textlink="">
          <xdr:nvSpPr>
            <xdr:cNvPr id="16406" name="Button 22" hidden="1">
              <a:extLst>
                <a:ext uri="{63B3BB69-23CF-44E3-9099-C40C66FF867C}">
                  <a14:compatExt spid="_x0000_s1640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rPr>
                <a:t>Print Budget and Explanation Pages</a:t>
              </a:r>
            </a:p>
          </xdr:txBody>
        </xdr:sp>
        <xdr:clientData fPrintsWithSheet="0"/>
      </xdr:twoCellAnchor>
    </mc:Choice>
    <mc:Fallback/>
  </mc:AlternateContent>
  <xdr:twoCellAnchor>
    <xdr:from>
      <xdr:col>0</xdr:col>
      <xdr:colOff>0</xdr:colOff>
      <xdr:row>127</xdr:row>
      <xdr:rowOff>95250</xdr:rowOff>
    </xdr:from>
    <xdr:to>
      <xdr:col>9</xdr:col>
      <xdr:colOff>763084</xdr:colOff>
      <xdr:row>131</xdr:row>
      <xdr:rowOff>157594</xdr:rowOff>
    </xdr:to>
    <xdr:sp macro="" textlink="">
      <xdr:nvSpPr>
        <xdr:cNvPr id="8" name="TextBox 7"/>
        <xdr:cNvSpPr txBox="1"/>
      </xdr:nvSpPr>
      <xdr:spPr>
        <a:xfrm>
          <a:off x="0" y="26029227"/>
          <a:ext cx="6313561" cy="824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685800" algn="l"/>
              <a:tab pos="1371600" algn="l"/>
              <a:tab pos="1828800" algn="l"/>
              <a:tab pos="2286000" algn="l"/>
            </a:tabLst>
          </a:pPr>
          <a:r>
            <a:rPr lang="en-US" sz="1000"/>
            <a:t>				</a:t>
          </a:r>
          <a:r>
            <a:rPr lang="en-US" sz="1000" u="sng"/>
            <a:t>Contributors:</a:t>
          </a:r>
        </a:p>
        <a:p>
          <a:pPr>
            <a:tabLst>
              <a:tab pos="685800" algn="l"/>
              <a:tab pos="1371600" algn="l"/>
              <a:tab pos="1828800" algn="l"/>
              <a:tab pos="2286000" algn="l"/>
            </a:tabLst>
          </a:pPr>
          <a:r>
            <a:rPr lang="en-US" sz="1000"/>
            <a:t>Glynn</a:t>
          </a:r>
          <a:r>
            <a:rPr lang="en-US" sz="1000" baseline="0"/>
            <a:t> Tonsor	               		Robin Reid		The K-State Beef Team</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Associate</a:t>
          </a:r>
          <a:r>
            <a:rPr lang="en-US" sz="1000" baseline="0"/>
            <a:t> Professor	</a:t>
          </a:r>
          <a:r>
            <a:rPr lang="en-US" sz="1000"/>
            <a:t>Extension Associate	</a:t>
          </a:r>
          <a:r>
            <a:rPr lang="en-US" sz="1000" baseline="0"/>
            <a:t>www.KSUBeef.org</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KSU-Agricultural Economics</a:t>
          </a:r>
          <a:r>
            <a:rPr lang="en-US" sz="1000" baseline="0"/>
            <a:t>            	</a:t>
          </a:r>
          <a:r>
            <a:rPr lang="en-US" sz="1000">
              <a:solidFill>
                <a:schemeClr val="dk1"/>
              </a:solidFill>
              <a:effectLst/>
              <a:latin typeface="+mn-lt"/>
              <a:ea typeface="+mn-ea"/>
              <a:cs typeface="+mn-cs"/>
            </a:rPr>
            <a:t>KSU-Agricultural Economics</a:t>
          </a:r>
          <a:r>
            <a:rPr lang="en-US" sz="1000" baseline="0">
              <a:solidFill>
                <a:schemeClr val="dk1"/>
              </a:solidFill>
              <a:effectLst/>
              <a:latin typeface="+mn-lt"/>
              <a:ea typeface="+mn-ea"/>
              <a:cs typeface="+mn-cs"/>
            </a:rPr>
            <a:t>             </a:t>
          </a:r>
          <a:endParaRPr lang="en-US" sz="1000">
            <a:effectLst/>
          </a:endParaRPr>
        </a:p>
        <a:p>
          <a:endParaRPr lang="en-US" sz="10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pendell@k-state.edu" TargetMode="External"/><Relationship Id="rId1" Type="http://schemas.openxmlformats.org/officeDocument/2006/relationships/hyperlink" Target="mailto:robinreid@ksu.ed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www.usda.gov/oce/commodity/projections/"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X51"/>
  <sheetViews>
    <sheetView showGridLines="0" tabSelected="1" zoomScale="92" zoomScaleNormal="100" workbookViewId="0">
      <selection activeCell="B38" sqref="B38:L39"/>
    </sheetView>
  </sheetViews>
  <sheetFormatPr defaultRowHeight="12.75" x14ac:dyDescent="0.2"/>
  <cols>
    <col min="1" max="1" width="3.5703125" style="158" customWidth="1"/>
    <col min="2" max="4" width="9.140625" style="158"/>
    <col min="5" max="5" width="9" style="158" customWidth="1"/>
    <col min="6" max="11" width="9.140625" style="158"/>
    <col min="12" max="12" width="23.28515625" style="158" customWidth="1"/>
    <col min="13" max="13" width="3.7109375" style="158" customWidth="1"/>
    <col min="14" max="16384" width="9.140625" style="158"/>
  </cols>
  <sheetData>
    <row r="1" spans="2:24" ht="10.5" customHeight="1" thickBot="1" x14ac:dyDescent="0.25"/>
    <row r="2" spans="2:24" ht="7.5" customHeight="1" x14ac:dyDescent="0.25">
      <c r="B2" s="159"/>
      <c r="C2" s="160"/>
      <c r="D2" s="160"/>
      <c r="E2" s="160"/>
      <c r="F2" s="160"/>
      <c r="G2" s="160"/>
      <c r="H2" s="160"/>
      <c r="I2" s="160"/>
      <c r="J2" s="160"/>
      <c r="K2" s="160"/>
      <c r="L2" s="161"/>
    </row>
    <row r="3" spans="2:24" ht="26.25" x14ac:dyDescent="0.4">
      <c r="B3" s="162" t="s">
        <v>142</v>
      </c>
      <c r="C3" s="163"/>
      <c r="D3" s="163"/>
      <c r="E3" s="163"/>
      <c r="F3" s="163"/>
      <c r="G3" s="163"/>
      <c r="H3" s="164"/>
      <c r="I3" s="164"/>
      <c r="J3" s="165"/>
      <c r="K3" s="165"/>
      <c r="L3" s="166"/>
    </row>
    <row r="4" spans="2:24" ht="18" customHeight="1" x14ac:dyDescent="0.3">
      <c r="B4" s="167"/>
      <c r="C4" s="168"/>
      <c r="D4" s="169"/>
      <c r="E4" s="169"/>
      <c r="F4" s="170"/>
      <c r="G4" s="170"/>
      <c r="H4" s="164"/>
      <c r="I4" s="164"/>
      <c r="J4" s="165"/>
      <c r="K4" s="165"/>
      <c r="L4" s="166"/>
    </row>
    <row r="5" spans="2:24" ht="15.75" customHeight="1" x14ac:dyDescent="0.25">
      <c r="B5" s="201" t="s">
        <v>143</v>
      </c>
      <c r="C5" s="202"/>
      <c r="D5" s="202"/>
      <c r="E5" s="202"/>
      <c r="F5" s="202"/>
      <c r="G5" s="202"/>
      <c r="H5" s="202"/>
      <c r="I5" s="202"/>
      <c r="J5" s="165"/>
      <c r="K5" s="165"/>
      <c r="L5" s="166"/>
      <c r="N5" s="204"/>
      <c r="O5" s="205"/>
      <c r="P5" s="205"/>
      <c r="Q5" s="205"/>
      <c r="R5" s="205"/>
      <c r="S5" s="205"/>
      <c r="T5" s="205"/>
      <c r="U5" s="205"/>
      <c r="V5" s="205"/>
      <c r="W5" s="205"/>
      <c r="X5" s="205"/>
    </row>
    <row r="6" spans="2:24" ht="15.75" x14ac:dyDescent="0.25">
      <c r="B6" s="203"/>
      <c r="C6" s="202"/>
      <c r="D6" s="202"/>
      <c r="E6" s="202"/>
      <c r="F6" s="202"/>
      <c r="G6" s="202"/>
      <c r="H6" s="202"/>
      <c r="I6" s="202"/>
      <c r="J6" s="165"/>
      <c r="K6" s="165"/>
      <c r="L6" s="166"/>
      <c r="N6" s="205"/>
      <c r="O6" s="205"/>
      <c r="P6" s="205"/>
      <c r="Q6" s="205"/>
      <c r="R6" s="205"/>
      <c r="S6" s="205"/>
      <c r="T6" s="205"/>
      <c r="U6" s="205"/>
      <c r="V6" s="205"/>
      <c r="W6" s="205"/>
      <c r="X6" s="205"/>
    </row>
    <row r="7" spans="2:24" ht="5.25" customHeight="1" x14ac:dyDescent="0.25">
      <c r="B7" s="171"/>
      <c r="C7" s="172"/>
      <c r="D7" s="172"/>
      <c r="E7" s="172"/>
      <c r="F7" s="172"/>
      <c r="G7" s="172"/>
      <c r="H7" s="172"/>
      <c r="I7" s="165"/>
      <c r="J7" s="165"/>
      <c r="K7" s="173"/>
      <c r="L7" s="174"/>
    </row>
    <row r="8" spans="2:24" ht="13.5" customHeight="1" thickBot="1" x14ac:dyDescent="0.3">
      <c r="B8" s="175"/>
      <c r="C8" s="206"/>
      <c r="D8" s="207"/>
      <c r="E8" s="208"/>
      <c r="F8" s="209"/>
      <c r="G8" s="176"/>
      <c r="H8" s="176"/>
      <c r="I8" s="176"/>
      <c r="J8" s="176"/>
      <c r="K8" s="177"/>
      <c r="L8" s="178" t="s">
        <v>167</v>
      </c>
      <c r="N8" s="210"/>
    </row>
    <row r="9" spans="2:24" ht="9.75" customHeight="1" x14ac:dyDescent="0.25">
      <c r="B9" s="179"/>
      <c r="C9" s="179"/>
      <c r="D9" s="179"/>
      <c r="E9" s="179"/>
      <c r="F9" s="179"/>
      <c r="G9" s="180"/>
      <c r="H9" s="179"/>
      <c r="I9" s="179"/>
      <c r="J9" s="179"/>
      <c r="K9" s="179"/>
      <c r="L9" s="179"/>
      <c r="N9" s="210"/>
    </row>
    <row r="28" spans="2:12" ht="15.75" x14ac:dyDescent="0.25">
      <c r="B28" s="181" t="s">
        <v>144</v>
      </c>
      <c r="C28" s="182"/>
      <c r="D28" s="182"/>
      <c r="E28" s="182"/>
      <c r="F28" s="183"/>
      <c r="G28" s="183"/>
      <c r="H28" s="183"/>
      <c r="I28" s="183"/>
      <c r="J28" s="183"/>
      <c r="K28" s="183"/>
      <c r="L28" s="183"/>
    </row>
    <row r="29" spans="2:12" x14ac:dyDescent="0.2">
      <c r="B29" s="200" t="s">
        <v>145</v>
      </c>
      <c r="C29" s="200"/>
      <c r="D29" s="200"/>
      <c r="E29" s="200"/>
      <c r="F29" s="200"/>
      <c r="G29" s="200"/>
      <c r="H29" s="200"/>
      <c r="I29" s="200"/>
      <c r="J29" s="200"/>
      <c r="K29" s="200"/>
      <c r="L29" s="200"/>
    </row>
    <row r="30" spans="2:12" ht="48" customHeight="1" x14ac:dyDescent="0.2">
      <c r="B30" s="200"/>
      <c r="C30" s="200"/>
      <c r="D30" s="200"/>
      <c r="E30" s="200"/>
      <c r="F30" s="200"/>
      <c r="G30" s="200"/>
      <c r="H30" s="200"/>
      <c r="I30" s="200"/>
      <c r="J30" s="200"/>
      <c r="K30" s="200"/>
      <c r="L30" s="200"/>
    </row>
    <row r="31" spans="2:12" ht="19.5" customHeight="1" x14ac:dyDescent="0.25">
      <c r="B31" s="211" t="s">
        <v>146</v>
      </c>
      <c r="C31" s="212"/>
      <c r="D31" s="212"/>
      <c r="E31" s="212"/>
      <c r="F31" s="184"/>
      <c r="G31" s="185"/>
      <c r="H31" s="184"/>
      <c r="I31" s="184"/>
      <c r="J31" s="184"/>
      <c r="K31" s="184"/>
      <c r="L31" s="184"/>
    </row>
    <row r="32" spans="2:12" ht="15.75" customHeight="1" x14ac:dyDescent="0.2">
      <c r="B32" s="213" t="s">
        <v>147</v>
      </c>
      <c r="C32" s="213"/>
      <c r="D32" s="213"/>
      <c r="E32" s="213"/>
      <c r="F32" s="213"/>
      <c r="G32" s="213"/>
      <c r="H32" s="213"/>
      <c r="I32" s="213"/>
      <c r="J32" s="213"/>
      <c r="K32" s="213"/>
      <c r="L32" s="213"/>
    </row>
    <row r="33" spans="2:12" ht="15.75" customHeight="1" x14ac:dyDescent="0.2">
      <c r="B33" s="213"/>
      <c r="C33" s="213"/>
      <c r="D33" s="213"/>
      <c r="E33" s="213"/>
      <c r="F33" s="213"/>
      <c r="G33" s="213"/>
      <c r="H33" s="213"/>
      <c r="I33" s="213"/>
      <c r="J33" s="213"/>
      <c r="K33" s="213"/>
      <c r="L33" s="213"/>
    </row>
    <row r="34" spans="2:12" ht="12.75" customHeight="1" x14ac:dyDescent="0.2">
      <c r="C34" s="186"/>
      <c r="D34" s="186"/>
      <c r="E34" s="186"/>
      <c r="F34" s="186"/>
      <c r="G34" s="186"/>
      <c r="H34" s="186"/>
      <c r="I34" s="186"/>
      <c r="J34" s="186"/>
      <c r="K34" s="186"/>
      <c r="L34" s="186"/>
    </row>
    <row r="35" spans="2:12" ht="12.75" customHeight="1" x14ac:dyDescent="0.2">
      <c r="B35" s="186"/>
      <c r="C35" s="186"/>
      <c r="D35" s="186"/>
      <c r="E35" s="186"/>
      <c r="F35" s="186"/>
      <c r="G35" s="186"/>
      <c r="H35" s="186"/>
      <c r="I35" s="186"/>
      <c r="J35" s="186"/>
      <c r="K35" s="186"/>
      <c r="L35" s="186"/>
    </row>
    <row r="36" spans="2:12" ht="15.75" hidden="1" x14ac:dyDescent="0.25">
      <c r="B36" s="187"/>
      <c r="C36" s="187"/>
      <c r="D36" s="187"/>
      <c r="E36" s="187"/>
      <c r="F36" s="187"/>
      <c r="G36" s="187"/>
      <c r="H36" s="187"/>
      <c r="I36" s="187"/>
      <c r="J36" s="187"/>
      <c r="K36" s="187"/>
      <c r="L36" s="187"/>
    </row>
    <row r="37" spans="2:12" ht="15.75" x14ac:dyDescent="0.25">
      <c r="B37" s="188" t="s">
        <v>148</v>
      </c>
      <c r="C37" s="183"/>
      <c r="D37" s="184"/>
      <c r="E37" s="184"/>
      <c r="F37" s="184"/>
      <c r="G37" s="184"/>
      <c r="H37" s="184"/>
      <c r="I37" s="184"/>
      <c r="J37" s="184"/>
      <c r="K37" s="184"/>
      <c r="L37" s="184"/>
    </row>
    <row r="38" spans="2:12" ht="18" customHeight="1" x14ac:dyDescent="0.2">
      <c r="B38" s="214" t="s">
        <v>149</v>
      </c>
      <c r="C38" s="214"/>
      <c r="D38" s="214"/>
      <c r="E38" s="214"/>
      <c r="F38" s="214"/>
      <c r="G38" s="214"/>
      <c r="H38" s="214"/>
      <c r="I38" s="214"/>
      <c r="J38" s="214"/>
      <c r="K38" s="214"/>
      <c r="L38" s="214"/>
    </row>
    <row r="39" spans="2:12" ht="12.75" customHeight="1" x14ac:dyDescent="0.2">
      <c r="B39" s="214"/>
      <c r="C39" s="214"/>
      <c r="D39" s="214"/>
      <c r="E39" s="214"/>
      <c r="F39" s="214"/>
      <c r="G39" s="214"/>
      <c r="H39" s="214"/>
      <c r="I39" s="214"/>
      <c r="J39" s="214"/>
      <c r="K39" s="214"/>
      <c r="L39" s="214"/>
    </row>
    <row r="40" spans="2:12" ht="15.75" x14ac:dyDescent="0.25">
      <c r="B40" s="183" t="s">
        <v>150</v>
      </c>
      <c r="C40" s="183"/>
      <c r="D40" s="183"/>
      <c r="E40" s="183"/>
      <c r="F40" s="189"/>
      <c r="G40" s="183" t="s">
        <v>151</v>
      </c>
      <c r="H40" s="183"/>
      <c r="I40" s="183"/>
      <c r="J40" s="183"/>
      <c r="K40" s="183"/>
    </row>
    <row r="41" spans="2:12" ht="15.75" x14ac:dyDescent="0.25">
      <c r="B41" s="183" t="s">
        <v>152</v>
      </c>
      <c r="C41" s="183"/>
      <c r="D41" s="183"/>
      <c r="E41" s="183"/>
      <c r="F41" s="189"/>
      <c r="G41" s="183" t="s">
        <v>153</v>
      </c>
      <c r="H41" s="183"/>
      <c r="I41" s="183"/>
      <c r="J41" s="183"/>
      <c r="K41" s="183"/>
    </row>
    <row r="42" spans="2:12" ht="15.75" x14ac:dyDescent="0.25">
      <c r="B42" s="183" t="s">
        <v>154</v>
      </c>
      <c r="C42" s="183"/>
      <c r="D42" s="183"/>
      <c r="E42" s="183"/>
      <c r="F42" s="183"/>
      <c r="G42" s="183" t="s">
        <v>154</v>
      </c>
      <c r="H42" s="183"/>
      <c r="I42" s="183"/>
      <c r="J42" s="183"/>
      <c r="K42" s="183"/>
    </row>
    <row r="43" spans="2:12" ht="15.75" x14ac:dyDescent="0.25">
      <c r="B43" s="183" t="s">
        <v>155</v>
      </c>
      <c r="C43" s="183"/>
      <c r="D43" s="183"/>
      <c r="E43" s="182"/>
      <c r="F43" s="183"/>
      <c r="G43" s="183" t="s">
        <v>155</v>
      </c>
      <c r="H43" s="183"/>
      <c r="I43" s="183"/>
      <c r="J43" s="183"/>
      <c r="K43" s="183"/>
    </row>
    <row r="44" spans="2:12" ht="15.75" x14ac:dyDescent="0.25">
      <c r="B44" s="215" t="s">
        <v>156</v>
      </c>
      <c r="C44" s="212"/>
      <c r="D44" s="212"/>
      <c r="E44" s="182"/>
      <c r="F44" s="183"/>
      <c r="G44" s="215" t="s">
        <v>157</v>
      </c>
      <c r="H44" s="212"/>
      <c r="I44" s="212"/>
      <c r="J44" s="183"/>
      <c r="K44" s="183"/>
    </row>
    <row r="45" spans="2:12" ht="15.75" x14ac:dyDescent="0.25">
      <c r="B45" s="157" t="s">
        <v>158</v>
      </c>
      <c r="C45" s="190"/>
      <c r="D45" s="182"/>
      <c r="E45" s="183"/>
      <c r="F45" s="183"/>
      <c r="G45" s="157" t="s">
        <v>159</v>
      </c>
      <c r="H45" s="190"/>
      <c r="I45" s="182"/>
      <c r="J45" s="183"/>
      <c r="K45" s="183"/>
    </row>
    <row r="46" spans="2:12" ht="15.75" x14ac:dyDescent="0.25">
      <c r="B46" s="157"/>
      <c r="C46" s="190"/>
      <c r="D46" s="182"/>
      <c r="E46" s="183"/>
      <c r="F46" s="183"/>
      <c r="G46" s="157"/>
      <c r="H46" s="190"/>
      <c r="I46" s="182"/>
      <c r="J46" s="183"/>
      <c r="K46" s="183"/>
    </row>
    <row r="47" spans="2:12" ht="15.75" x14ac:dyDescent="0.25">
      <c r="B47" s="157"/>
      <c r="C47" s="190"/>
      <c r="D47" s="182"/>
      <c r="E47" s="183"/>
      <c r="F47" s="183"/>
      <c r="G47" s="157"/>
      <c r="H47" s="190"/>
      <c r="I47" s="182"/>
      <c r="J47" s="183"/>
      <c r="K47" s="183"/>
    </row>
    <row r="48" spans="2:12" ht="15.75" x14ac:dyDescent="0.25">
      <c r="B48" s="188" t="s">
        <v>160</v>
      </c>
      <c r="C48" s="184"/>
      <c r="D48" s="183"/>
      <c r="E48" s="183"/>
      <c r="F48" s="183"/>
      <c r="G48" s="183"/>
      <c r="H48" s="183"/>
      <c r="I48" s="183"/>
      <c r="J48" s="183"/>
      <c r="K48" s="183"/>
      <c r="L48" s="183"/>
    </row>
    <row r="49" spans="2:13" ht="15.75" customHeight="1" x14ac:dyDescent="0.2">
      <c r="B49" s="200" t="s">
        <v>174</v>
      </c>
      <c r="C49" s="200"/>
      <c r="D49" s="200"/>
      <c r="E49" s="200"/>
      <c r="F49" s="200"/>
      <c r="G49" s="200"/>
      <c r="H49" s="200"/>
      <c r="I49" s="200"/>
      <c r="J49" s="200"/>
      <c r="K49" s="200"/>
      <c r="L49" s="200"/>
      <c r="M49" s="200"/>
    </row>
    <row r="50" spans="2:13" ht="15.75" customHeight="1" x14ac:dyDescent="0.2">
      <c r="B50" s="200"/>
      <c r="C50" s="200"/>
      <c r="D50" s="200"/>
      <c r="E50" s="200"/>
      <c r="F50" s="200"/>
      <c r="G50" s="200"/>
      <c r="H50" s="200"/>
      <c r="I50" s="200"/>
      <c r="J50" s="200"/>
      <c r="K50" s="200"/>
      <c r="L50" s="200"/>
      <c r="M50" s="200"/>
    </row>
    <row r="51" spans="2:13" ht="15.75" x14ac:dyDescent="0.25">
      <c r="B51" s="191"/>
    </row>
  </sheetData>
  <sheetProtection sheet="1" objects="1" scenarios="1"/>
  <mergeCells count="12">
    <mergeCell ref="B49:M50"/>
    <mergeCell ref="B5:I6"/>
    <mergeCell ref="N5:X6"/>
    <mergeCell ref="C8:D8"/>
    <mergeCell ref="E8:F8"/>
    <mergeCell ref="N8:N9"/>
    <mergeCell ref="B29:L30"/>
    <mergeCell ref="B31:E31"/>
    <mergeCell ref="B32:L33"/>
    <mergeCell ref="B38:L39"/>
    <mergeCell ref="B44:D44"/>
    <mergeCell ref="G44:I44"/>
  </mergeCells>
  <hyperlinks>
    <hyperlink ref="G44" r:id="rId1"/>
    <hyperlink ref="B44" r:id="rId2"/>
  </hyperlinks>
  <printOptions horizontalCentered="1"/>
  <pageMargins left="0.75" right="0.75" top="1" bottom="1" header="0.5" footer="0.5"/>
  <pageSetup scale="73" orientation="portrait" r:id="rId3"/>
  <headerFooter alignWithMargins="0">
    <oddHeader>&amp;R&amp;D</oddHeader>
    <oddFooter>&amp;A</oddFooter>
  </headerFooter>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7030A0"/>
    <pageSetUpPr fitToPage="1"/>
  </sheetPr>
  <dimension ref="A1:H19"/>
  <sheetViews>
    <sheetView zoomScale="90" zoomScaleNormal="90" workbookViewId="0">
      <selection activeCell="H25" sqref="H25"/>
    </sheetView>
  </sheetViews>
  <sheetFormatPr defaultRowHeight="15" x14ac:dyDescent="0.25"/>
  <cols>
    <col min="1" max="1" width="30.28515625" customWidth="1"/>
    <col min="2" max="3" width="24.140625" bestFit="1" customWidth="1"/>
    <col min="4" max="4" width="60.5703125" hidden="1" customWidth="1"/>
    <col min="5" max="5" width="1.85546875" hidden="1" customWidth="1"/>
    <col min="6" max="6" width="46.7109375" hidden="1" customWidth="1"/>
  </cols>
  <sheetData>
    <row r="1" spans="1:8" x14ac:dyDescent="0.25">
      <c r="A1" s="2" t="s">
        <v>19</v>
      </c>
    </row>
    <row r="2" spans="1:8" x14ac:dyDescent="0.25">
      <c r="A2" s="2" t="s">
        <v>38</v>
      </c>
    </row>
    <row r="3" spans="1:8" x14ac:dyDescent="0.25">
      <c r="A3" s="2"/>
    </row>
    <row r="4" spans="1:8" x14ac:dyDescent="0.25">
      <c r="B4" s="23" t="str">
        <f>A1</f>
        <v>Current Prices</v>
      </c>
      <c r="C4" s="25" t="str">
        <f>A2</f>
        <v>One Year Out Prices</v>
      </c>
      <c r="D4" s="24"/>
      <c r="F4" s="33"/>
    </row>
    <row r="5" spans="1:8" x14ac:dyDescent="0.25">
      <c r="B5" s="92" t="s">
        <v>173</v>
      </c>
      <c r="C5" s="25" t="str">
        <f>B5</f>
        <v>(as of Sept 1st, 2016)</v>
      </c>
      <c r="D5" s="24" t="s">
        <v>1</v>
      </c>
      <c r="F5" s="33"/>
    </row>
    <row r="6" spans="1:8" x14ac:dyDescent="0.25">
      <c r="A6" t="s">
        <v>163</v>
      </c>
      <c r="B6" s="93">
        <v>311.2</v>
      </c>
      <c r="C6" s="94">
        <v>303.2</v>
      </c>
      <c r="D6" s="95" t="s">
        <v>37</v>
      </c>
      <c r="E6" s="96"/>
      <c r="F6" s="34" t="s">
        <v>17</v>
      </c>
      <c r="G6" s="20"/>
      <c r="H6" s="20"/>
    </row>
    <row r="7" spans="1:8" x14ac:dyDescent="0.25">
      <c r="A7" t="s">
        <v>168</v>
      </c>
      <c r="B7" s="93">
        <v>4.8899999999999997</v>
      </c>
      <c r="C7" s="94">
        <v>5.6088717948717939</v>
      </c>
      <c r="D7" s="95" t="s">
        <v>36</v>
      </c>
      <c r="E7" s="96"/>
      <c r="F7" s="33" t="s">
        <v>17</v>
      </c>
      <c r="G7" s="20"/>
      <c r="H7" s="20"/>
    </row>
    <row r="8" spans="1:8" s="20" customFormat="1" x14ac:dyDescent="0.25">
      <c r="B8" s="97"/>
      <c r="C8" s="124"/>
      <c r="D8" s="123"/>
      <c r="E8" s="123"/>
    </row>
    <row r="9" spans="1:8" x14ac:dyDescent="0.25">
      <c r="A9" t="s">
        <v>83</v>
      </c>
      <c r="B9" s="93">
        <v>23.4</v>
      </c>
      <c r="C9" s="94">
        <v>26.839999999999996</v>
      </c>
      <c r="D9" s="99">
        <v>0</v>
      </c>
      <c r="E9" s="96"/>
      <c r="F9" s="88" t="s">
        <v>107</v>
      </c>
      <c r="G9" s="20"/>
      <c r="H9" s="20"/>
    </row>
    <row r="10" spans="1:8" x14ac:dyDescent="0.25">
      <c r="A10" t="s">
        <v>169</v>
      </c>
      <c r="B10" s="93">
        <v>60</v>
      </c>
      <c r="C10" s="94">
        <v>68.820512820512818</v>
      </c>
      <c r="D10" s="100">
        <v>0</v>
      </c>
      <c r="E10" s="101"/>
      <c r="F10" s="33" t="s">
        <v>39</v>
      </c>
      <c r="G10" s="20"/>
      <c r="H10" s="20"/>
    </row>
    <row r="11" spans="1:8" x14ac:dyDescent="0.25">
      <c r="A11" t="s">
        <v>71</v>
      </c>
      <c r="B11" s="93">
        <v>105</v>
      </c>
      <c r="C11" s="94">
        <v>120.43589743589743</v>
      </c>
      <c r="D11" s="100">
        <v>0</v>
      </c>
      <c r="E11" s="101"/>
      <c r="F11" s="33" t="s">
        <v>39</v>
      </c>
      <c r="G11" s="20"/>
      <c r="H11" s="20"/>
    </row>
    <row r="12" spans="1:8" x14ac:dyDescent="0.25">
      <c r="A12" t="s">
        <v>72</v>
      </c>
      <c r="B12" s="93">
        <v>19.22</v>
      </c>
      <c r="C12" s="94">
        <v>19.604399999999998</v>
      </c>
      <c r="D12" s="95">
        <v>0</v>
      </c>
      <c r="E12" s="96"/>
      <c r="F12" s="33" t="s">
        <v>35</v>
      </c>
      <c r="G12" s="20"/>
      <c r="H12" s="20"/>
    </row>
    <row r="13" spans="1:8" x14ac:dyDescent="0.25">
      <c r="A13" t="s">
        <v>170</v>
      </c>
      <c r="B13" s="155">
        <v>3.96</v>
      </c>
      <c r="C13" s="156">
        <v>4.0392000000000001</v>
      </c>
      <c r="D13" s="95">
        <v>0</v>
      </c>
      <c r="E13" s="96"/>
      <c r="F13" s="33" t="s">
        <v>35</v>
      </c>
      <c r="G13" s="20"/>
      <c r="H13" s="20"/>
    </row>
    <row r="14" spans="1:8" s="20" customFormat="1" x14ac:dyDescent="0.25">
      <c r="B14" s="98"/>
      <c r="C14" s="98"/>
      <c r="D14" s="98"/>
      <c r="E14" s="98"/>
      <c r="F14" s="33"/>
    </row>
    <row r="15" spans="1:8" x14ac:dyDescent="0.25">
      <c r="A15" t="s">
        <v>171</v>
      </c>
      <c r="B15" s="93">
        <v>145.47</v>
      </c>
      <c r="C15" s="94">
        <v>143.69</v>
      </c>
      <c r="D15" s="100"/>
      <c r="E15" s="101"/>
      <c r="F15" s="33"/>
      <c r="G15" s="20"/>
      <c r="H15" s="20"/>
    </row>
    <row r="16" spans="1:8" x14ac:dyDescent="0.25">
      <c r="A16" t="s">
        <v>172</v>
      </c>
      <c r="B16" s="93">
        <v>46.82</v>
      </c>
      <c r="C16" s="94">
        <v>46.18</v>
      </c>
      <c r="D16" s="100">
        <v>0</v>
      </c>
      <c r="E16" s="101"/>
      <c r="F16" s="33" t="s">
        <v>17</v>
      </c>
      <c r="G16" s="20"/>
      <c r="H16" s="20"/>
    </row>
    <row r="17" spans="2:2" x14ac:dyDescent="0.25">
      <c r="B17" s="4"/>
    </row>
    <row r="18" spans="2:2" x14ac:dyDescent="0.25">
      <c r="B18" s="4"/>
    </row>
    <row r="19" spans="2:2" x14ac:dyDescent="0.25">
      <c r="B19" s="4"/>
    </row>
  </sheetData>
  <sheetProtection sheet="1" objects="1" scenarios="1"/>
  <hyperlinks>
    <hyperlink ref="F6" r:id="rId1"/>
  </hyperlinks>
  <pageMargins left="0.25" right="0.25" top="0.75" bottom="0.75" header="0.3" footer="0.3"/>
  <pageSetup orientation="portrait" horizontalDpi="4294967295" verticalDpi="4294967295" r:id="rId2"/>
  <ignoredErrors>
    <ignoredError sqref="E13 D6:E6" unlockedFormula="1"/>
  </ignoredError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70C0"/>
    <pageSetUpPr fitToPage="1"/>
  </sheetPr>
  <dimension ref="B1:L30"/>
  <sheetViews>
    <sheetView workbookViewId="0">
      <selection activeCell="C13" activeCellId="2" sqref="C5:C8 C10:C11 C13"/>
    </sheetView>
  </sheetViews>
  <sheetFormatPr defaultRowHeight="15" x14ac:dyDescent="0.25"/>
  <cols>
    <col min="2" max="2" width="31.140625" customWidth="1"/>
    <col min="3" max="3" width="12.28515625" customWidth="1"/>
    <col min="4" max="4" width="18.7109375" customWidth="1"/>
    <col min="5" max="5" width="12.28515625" customWidth="1"/>
    <col min="6" max="6" width="13.7109375" customWidth="1"/>
    <col min="8" max="8" width="30.85546875" hidden="1" customWidth="1"/>
    <col min="9" max="11" width="0" hidden="1" customWidth="1"/>
    <col min="12" max="12" width="17.28515625" hidden="1" customWidth="1"/>
    <col min="13" max="13" width="0" hidden="1" customWidth="1"/>
  </cols>
  <sheetData>
    <row r="1" spans="2:12" ht="28.5" x14ac:dyDescent="0.45">
      <c r="B1" s="216" t="s">
        <v>116</v>
      </c>
      <c r="C1" s="216"/>
      <c r="D1" s="216"/>
      <c r="E1" s="216"/>
      <c r="F1" s="216"/>
      <c r="G1" s="216"/>
      <c r="H1" s="216"/>
      <c r="I1" s="216"/>
      <c r="J1" s="216"/>
      <c r="K1" s="216"/>
      <c r="L1" s="216"/>
    </row>
    <row r="2" spans="2:12" ht="17.25" customHeight="1" thickBot="1" x14ac:dyDescent="0.3"/>
    <row r="3" spans="2:12" ht="15.75" thickBot="1" x14ac:dyDescent="0.3">
      <c r="B3" s="74" t="s">
        <v>126</v>
      </c>
      <c r="C3" s="75" t="s">
        <v>129</v>
      </c>
      <c r="D3" s="75"/>
      <c r="E3" s="75"/>
      <c r="F3" s="76"/>
      <c r="H3" s="74" t="s">
        <v>56</v>
      </c>
      <c r="I3" s="75" t="s">
        <v>80</v>
      </c>
      <c r="J3" s="75"/>
      <c r="K3" s="75"/>
      <c r="L3" s="76"/>
    </row>
    <row r="4" spans="2:12" x14ac:dyDescent="0.25">
      <c r="B4" s="77"/>
      <c r="C4" s="14" t="s">
        <v>18</v>
      </c>
      <c r="D4" s="14" t="s">
        <v>4</v>
      </c>
      <c r="E4" s="29"/>
      <c r="F4" s="78"/>
      <c r="H4" s="77"/>
      <c r="I4" s="14" t="s">
        <v>18</v>
      </c>
      <c r="J4" s="14" t="s">
        <v>4</v>
      </c>
      <c r="K4" s="29"/>
      <c r="L4" s="78"/>
    </row>
    <row r="5" spans="2:12" x14ac:dyDescent="0.25">
      <c r="B5" s="79" t="s">
        <v>22</v>
      </c>
      <c r="C5" s="102">
        <v>1</v>
      </c>
      <c r="D5" s="80" t="s">
        <v>81</v>
      </c>
      <c r="E5" s="80"/>
      <c r="F5" s="78"/>
      <c r="H5" s="79" t="s">
        <v>22</v>
      </c>
      <c r="I5" s="102">
        <v>4</v>
      </c>
      <c r="J5" s="80" t="s">
        <v>79</v>
      </c>
      <c r="K5" s="29"/>
      <c r="L5" s="78"/>
    </row>
    <row r="6" spans="2:12" x14ac:dyDescent="0.25">
      <c r="B6" s="81" t="s">
        <v>78</v>
      </c>
      <c r="C6" s="102">
        <v>730</v>
      </c>
      <c r="D6" s="80" t="s">
        <v>82</v>
      </c>
      <c r="E6" s="80"/>
      <c r="F6" s="78"/>
      <c r="H6" s="79" t="s">
        <v>24</v>
      </c>
      <c r="I6" s="102">
        <v>0</v>
      </c>
      <c r="J6" s="80" t="s">
        <v>79</v>
      </c>
      <c r="K6" s="29"/>
      <c r="L6" s="78"/>
    </row>
    <row r="7" spans="2:12" x14ac:dyDescent="0.25">
      <c r="B7" s="81" t="s">
        <v>51</v>
      </c>
      <c r="C7" s="102">
        <v>457</v>
      </c>
      <c r="D7" s="80" t="s">
        <v>82</v>
      </c>
      <c r="E7" s="80"/>
      <c r="F7" s="78"/>
      <c r="H7" s="81" t="s">
        <v>108</v>
      </c>
      <c r="I7" s="103">
        <v>0</v>
      </c>
      <c r="J7" s="80" t="s">
        <v>105</v>
      </c>
      <c r="K7" s="29"/>
      <c r="L7" s="78"/>
    </row>
    <row r="8" spans="2:12" x14ac:dyDescent="0.25">
      <c r="B8" s="81" t="s">
        <v>161</v>
      </c>
      <c r="C8" s="102">
        <v>0</v>
      </c>
      <c r="D8" s="80" t="s">
        <v>82</v>
      </c>
      <c r="E8" s="80"/>
      <c r="F8" s="78"/>
      <c r="H8" s="81" t="s">
        <v>78</v>
      </c>
      <c r="I8" s="103">
        <v>0</v>
      </c>
      <c r="J8" s="80" t="s">
        <v>105</v>
      </c>
      <c r="K8" s="29"/>
      <c r="L8" s="78"/>
    </row>
    <row r="9" spans="2:12" x14ac:dyDescent="0.25">
      <c r="B9" s="79" t="s">
        <v>77</v>
      </c>
      <c r="C9" s="134">
        <f>SUM(C6:C8)</f>
        <v>1187</v>
      </c>
      <c r="D9" s="80" t="s">
        <v>82</v>
      </c>
      <c r="E9" s="80"/>
      <c r="F9" s="78"/>
      <c r="H9" s="81" t="s">
        <v>51</v>
      </c>
      <c r="I9" s="103">
        <v>0</v>
      </c>
      <c r="J9" s="80" t="s">
        <v>105</v>
      </c>
      <c r="K9" s="29"/>
      <c r="L9" s="78"/>
    </row>
    <row r="10" spans="2:12" x14ac:dyDescent="0.25">
      <c r="B10" s="81" t="s">
        <v>128</v>
      </c>
      <c r="C10" s="102">
        <v>630</v>
      </c>
      <c r="D10" s="80" t="s">
        <v>82</v>
      </c>
      <c r="E10" s="80"/>
      <c r="F10" s="78"/>
      <c r="H10" s="79" t="s">
        <v>77</v>
      </c>
      <c r="I10" s="82">
        <f>SUM(I7:I9)</f>
        <v>0</v>
      </c>
      <c r="J10" s="80" t="s">
        <v>105</v>
      </c>
      <c r="K10" s="29"/>
      <c r="L10" s="78"/>
    </row>
    <row r="11" spans="2:12" x14ac:dyDescent="0.25">
      <c r="B11" s="81" t="s">
        <v>164</v>
      </c>
      <c r="C11" s="102">
        <v>42</v>
      </c>
      <c r="D11" s="80" t="s">
        <v>82</v>
      </c>
      <c r="E11" s="80"/>
      <c r="F11" s="78"/>
      <c r="H11" s="81" t="s">
        <v>53</v>
      </c>
      <c r="I11" s="103">
        <v>0</v>
      </c>
      <c r="J11" s="80" t="s">
        <v>104</v>
      </c>
      <c r="K11" s="29"/>
      <c r="L11" s="78"/>
    </row>
    <row r="12" spans="2:12" x14ac:dyDescent="0.25">
      <c r="B12" s="79" t="s">
        <v>76</v>
      </c>
      <c r="C12" s="89">
        <f>SUM(C10:C11)</f>
        <v>672</v>
      </c>
      <c r="D12" s="80" t="s">
        <v>82</v>
      </c>
      <c r="E12" s="80"/>
      <c r="F12" s="78"/>
      <c r="H12" s="81" t="s">
        <v>55</v>
      </c>
      <c r="I12" s="103">
        <v>0</v>
      </c>
      <c r="J12" s="80" t="s">
        <v>104</v>
      </c>
      <c r="K12" s="29"/>
      <c r="L12" s="78"/>
    </row>
    <row r="13" spans="2:12" ht="15.75" thickBot="1" x14ac:dyDescent="0.3">
      <c r="B13" s="83" t="s">
        <v>27</v>
      </c>
      <c r="C13" s="104">
        <v>19</v>
      </c>
      <c r="D13" s="84" t="s">
        <v>82</v>
      </c>
      <c r="E13" s="84"/>
      <c r="F13" s="85"/>
      <c r="H13" s="79" t="s">
        <v>76</v>
      </c>
      <c r="I13" s="82">
        <f>SUM(I11:I12)</f>
        <v>0</v>
      </c>
      <c r="J13" s="80" t="s">
        <v>104</v>
      </c>
      <c r="K13" s="29"/>
      <c r="L13" s="78"/>
    </row>
    <row r="14" spans="2:12" ht="15.75" thickBot="1" x14ac:dyDescent="0.3">
      <c r="C14" s="27"/>
      <c r="D14" s="6"/>
      <c r="E14" s="6"/>
      <c r="H14" s="83" t="s">
        <v>40</v>
      </c>
      <c r="I14" s="106">
        <f>0.25*150</f>
        <v>37.5</v>
      </c>
      <c r="J14" s="84" t="s">
        <v>104</v>
      </c>
      <c r="K14" s="46"/>
      <c r="L14" s="85"/>
    </row>
    <row r="15" spans="2:12" x14ac:dyDescent="0.25">
      <c r="I15" s="68"/>
      <c r="J15" s="6"/>
    </row>
    <row r="16" spans="2:12" ht="15.75" hidden="1" thickBot="1" x14ac:dyDescent="0.3">
      <c r="B16" s="74" t="s">
        <v>93</v>
      </c>
      <c r="C16" s="75" t="s">
        <v>66</v>
      </c>
      <c r="D16" s="75"/>
      <c r="E16" s="75"/>
      <c r="F16" s="76"/>
    </row>
    <row r="17" spans="2:12" hidden="1" x14ac:dyDescent="0.25">
      <c r="B17" s="77"/>
      <c r="C17" s="14" t="s">
        <v>18</v>
      </c>
      <c r="D17" s="14" t="s">
        <v>4</v>
      </c>
      <c r="E17" s="29"/>
      <c r="F17" s="78"/>
      <c r="H17" s="90" t="s">
        <v>100</v>
      </c>
      <c r="I17" s="91" t="s">
        <v>66</v>
      </c>
      <c r="J17" s="91"/>
      <c r="K17" s="91"/>
      <c r="L17" s="86"/>
    </row>
    <row r="18" spans="2:12" hidden="1" x14ac:dyDescent="0.25">
      <c r="B18" s="79" t="s">
        <v>22</v>
      </c>
      <c r="C18" s="102">
        <v>0</v>
      </c>
      <c r="D18" s="80" t="s">
        <v>79</v>
      </c>
      <c r="E18" s="80"/>
      <c r="F18" s="78"/>
      <c r="H18" s="77"/>
      <c r="I18" s="44" t="s">
        <v>18</v>
      </c>
      <c r="J18" s="44" t="s">
        <v>4</v>
      </c>
      <c r="K18" s="29"/>
      <c r="L18" s="78"/>
    </row>
    <row r="19" spans="2:12" hidden="1" x14ac:dyDescent="0.25">
      <c r="B19" s="79" t="s">
        <v>24</v>
      </c>
      <c r="C19" s="102">
        <v>0</v>
      </c>
      <c r="D19" s="80" t="s">
        <v>79</v>
      </c>
      <c r="E19" s="80"/>
      <c r="F19" s="78"/>
      <c r="H19" s="81" t="s">
        <v>108</v>
      </c>
      <c r="I19" s="103">
        <v>1.5</v>
      </c>
      <c r="J19" s="80" t="s">
        <v>52</v>
      </c>
      <c r="K19" s="80"/>
      <c r="L19" s="78"/>
    </row>
    <row r="20" spans="2:12" hidden="1" x14ac:dyDescent="0.25">
      <c r="B20" s="81" t="e">
        <f>IF(C1=Prices!A1,((Feed!C13*Prices!B11)),IF(C1=Prices!A2,((Feed!C13*Prices!C12)),IF(C1=Prices!A3,((Feed!C9/Feed!#REF!)*Prices!#REF!)+((Feed!C10/Feed!#REF!)*Prices!#REF!)+((Feed!C11/Feed!#REF!)*Prices!#REF!),"")))</f>
        <v>#REF!</v>
      </c>
      <c r="C20" s="103">
        <v>3.5</v>
      </c>
      <c r="D20" s="80" t="s">
        <v>52</v>
      </c>
      <c r="E20" s="80"/>
      <c r="F20" s="78"/>
      <c r="H20" s="81" t="s">
        <v>78</v>
      </c>
      <c r="I20" s="103">
        <v>0</v>
      </c>
      <c r="J20" s="80" t="s">
        <v>52</v>
      </c>
      <c r="K20" s="80"/>
      <c r="L20" s="78"/>
    </row>
    <row r="21" spans="2:12" hidden="1" x14ac:dyDescent="0.25">
      <c r="B21" s="81" t="s">
        <v>78</v>
      </c>
      <c r="C21" s="103">
        <v>0</v>
      </c>
      <c r="D21" s="80" t="s">
        <v>52</v>
      </c>
      <c r="E21" s="80"/>
      <c r="F21" s="78"/>
      <c r="H21" s="81" t="s">
        <v>51</v>
      </c>
      <c r="I21" s="103">
        <v>1.5</v>
      </c>
      <c r="J21" s="80" t="s">
        <v>52</v>
      </c>
      <c r="K21" s="80"/>
      <c r="L21" s="78"/>
    </row>
    <row r="22" spans="2:12" hidden="1" x14ac:dyDescent="0.25">
      <c r="B22" s="81" t="s">
        <v>51</v>
      </c>
      <c r="C22" s="103">
        <v>3.5</v>
      </c>
      <c r="D22" s="80" t="s">
        <v>52</v>
      </c>
      <c r="E22" s="80"/>
      <c r="F22" s="78"/>
      <c r="H22" s="79" t="s">
        <v>77</v>
      </c>
      <c r="I22" s="82">
        <f>SUM(I19:I21)</f>
        <v>3</v>
      </c>
      <c r="J22" s="80" t="s">
        <v>52</v>
      </c>
      <c r="K22" s="80"/>
      <c r="L22" s="78"/>
    </row>
    <row r="23" spans="2:12" hidden="1" x14ac:dyDescent="0.25">
      <c r="B23" s="79" t="s">
        <v>77</v>
      </c>
      <c r="C23" s="82">
        <f>SUM(C20:C22)</f>
        <v>7</v>
      </c>
      <c r="D23" s="80" t="s">
        <v>52</v>
      </c>
      <c r="E23" s="80"/>
      <c r="F23" s="78"/>
      <c r="H23" s="81" t="s">
        <v>53</v>
      </c>
      <c r="I23" s="103">
        <v>17</v>
      </c>
      <c r="J23" s="80" t="s">
        <v>52</v>
      </c>
      <c r="K23" s="80"/>
      <c r="L23" s="78"/>
    </row>
    <row r="24" spans="2:12" hidden="1" x14ac:dyDescent="0.25">
      <c r="B24" s="81" t="s">
        <v>53</v>
      </c>
      <c r="C24" s="103">
        <v>7</v>
      </c>
      <c r="D24" s="80" t="s">
        <v>52</v>
      </c>
      <c r="E24" s="80"/>
      <c r="F24" s="78"/>
      <c r="H24" s="81" t="s">
        <v>54</v>
      </c>
      <c r="I24" s="103">
        <v>5</v>
      </c>
      <c r="J24" s="80" t="s">
        <v>52</v>
      </c>
      <c r="K24" s="80"/>
      <c r="L24" s="78"/>
    </row>
    <row r="25" spans="2:12" hidden="1" x14ac:dyDescent="0.25">
      <c r="B25" s="81" t="s">
        <v>54</v>
      </c>
      <c r="C25" s="103">
        <v>7</v>
      </c>
      <c r="D25" s="80" t="s">
        <v>52</v>
      </c>
      <c r="E25" s="80"/>
      <c r="F25" s="78"/>
      <c r="H25" s="81" t="s">
        <v>55</v>
      </c>
      <c r="I25" s="103">
        <v>0</v>
      </c>
      <c r="J25" s="80" t="s">
        <v>52</v>
      </c>
      <c r="K25" s="80"/>
      <c r="L25" s="78"/>
    </row>
    <row r="26" spans="2:12" hidden="1" x14ac:dyDescent="0.25">
      <c r="B26" s="81" t="s">
        <v>55</v>
      </c>
      <c r="C26" s="103">
        <v>0</v>
      </c>
      <c r="D26" s="80" t="s">
        <v>52</v>
      </c>
      <c r="E26" s="80"/>
      <c r="F26" s="78"/>
      <c r="H26" s="79" t="s">
        <v>76</v>
      </c>
      <c r="I26" s="82">
        <f>SUM(I23:I25)</f>
        <v>22</v>
      </c>
      <c r="J26" s="80" t="s">
        <v>52</v>
      </c>
      <c r="K26" s="44"/>
      <c r="L26" s="78"/>
    </row>
    <row r="27" spans="2:12" hidden="1" x14ac:dyDescent="0.25">
      <c r="B27" s="79" t="s">
        <v>76</v>
      </c>
      <c r="C27" s="82">
        <f>SUM(C24:C26)</f>
        <v>14</v>
      </c>
      <c r="D27" s="80" t="s">
        <v>52</v>
      </c>
      <c r="E27" s="44"/>
      <c r="F27" s="78"/>
      <c r="H27" s="79" t="s">
        <v>40</v>
      </c>
      <c r="I27" s="107">
        <v>0.5</v>
      </c>
      <c r="J27" s="80" t="s">
        <v>52</v>
      </c>
      <c r="K27" s="29"/>
      <c r="L27" s="78"/>
    </row>
    <row r="28" spans="2:12" ht="15.75" hidden="1" thickBot="1" x14ac:dyDescent="0.3">
      <c r="B28" s="83" t="s">
        <v>40</v>
      </c>
      <c r="C28" s="105">
        <v>0.3</v>
      </c>
      <c r="D28" s="84" t="s">
        <v>52</v>
      </c>
      <c r="E28" s="46"/>
      <c r="F28" s="85"/>
      <c r="H28" s="79"/>
      <c r="I28" s="29"/>
      <c r="J28" s="29"/>
      <c r="K28" s="29"/>
      <c r="L28" s="78"/>
    </row>
    <row r="29" spans="2:12" ht="15.75" hidden="1" thickBot="1" x14ac:dyDescent="0.3">
      <c r="H29" s="83"/>
      <c r="I29" s="46"/>
      <c r="J29" s="46"/>
      <c r="K29" s="46"/>
      <c r="L29" s="85"/>
    </row>
    <row r="30" spans="2:12" hidden="1" x14ac:dyDescent="0.25">
      <c r="H30" s="29"/>
      <c r="I30" s="29"/>
      <c r="J30" s="29"/>
      <c r="K30" s="29"/>
      <c r="L30" s="29"/>
    </row>
  </sheetData>
  <sheetProtection sheet="1" objects="1" scenarios="1"/>
  <mergeCells count="1">
    <mergeCell ref="B1:L1"/>
  </mergeCells>
  <pageMargins left="0.7" right="0.7" top="0.75" bottom="0.75" header="0.3" footer="0.3"/>
  <pageSetup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5"/>
  </sheetPr>
  <dimension ref="A1:T131"/>
  <sheetViews>
    <sheetView zoomScale="110" zoomScaleNormal="110" zoomScaleSheetLayoutView="80" workbookViewId="0">
      <selection activeCell="N40" sqref="N40"/>
    </sheetView>
  </sheetViews>
  <sheetFormatPr defaultRowHeight="15" x14ac:dyDescent="0.25"/>
  <cols>
    <col min="1" max="1" width="38" customWidth="1"/>
    <col min="2" max="2" width="11" customWidth="1"/>
    <col min="3" max="3" width="10.85546875" customWidth="1"/>
    <col min="4" max="4" width="2.85546875" bestFit="1" customWidth="1"/>
    <col min="5" max="5" width="8.42578125" customWidth="1"/>
    <col min="6" max="6" width="9" customWidth="1"/>
    <col min="7" max="7" width="4.28515625" customWidth="1"/>
    <col min="8" max="8" width="7.28515625" customWidth="1"/>
    <col min="9" max="9" width="4.140625" customWidth="1"/>
    <col min="10" max="10" width="14.5703125" customWidth="1"/>
  </cols>
  <sheetData>
    <row r="1" spans="1:20" ht="22.5" customHeight="1" x14ac:dyDescent="0.25">
      <c r="A1" s="226" t="s">
        <v>133</v>
      </c>
      <c r="B1" s="227"/>
      <c r="C1" s="228" t="s">
        <v>19</v>
      </c>
      <c r="D1" s="228"/>
      <c r="E1" s="228"/>
      <c r="F1" s="228"/>
      <c r="G1" s="229" t="str">
        <f>IF(C1=Prices!B4,TEXT(Prices!B5,"MMM-YYYY"),IF(C1=Prices!C4,TEXT(Prices!C5,"MMM-YYYY"),TEXT(Prices!#REF!,"MMM-YYYY")))</f>
        <v>(as of Sept 1st, 2016)</v>
      </c>
      <c r="H1" s="229"/>
      <c r="I1" s="229"/>
      <c r="J1" s="229"/>
      <c r="K1" s="69"/>
      <c r="L1" s="20"/>
      <c r="M1" s="20"/>
      <c r="N1" s="20"/>
    </row>
    <row r="2" spans="1:20" x14ac:dyDescent="0.25">
      <c r="A2" s="18"/>
      <c r="B2" s="19"/>
      <c r="C2" s="20"/>
      <c r="D2" s="21"/>
      <c r="E2" s="20"/>
      <c r="F2" s="20"/>
      <c r="G2" s="21"/>
      <c r="H2" s="21"/>
      <c r="I2" s="21"/>
      <c r="J2" s="20"/>
      <c r="K2" s="20"/>
      <c r="L2" s="70" t="s">
        <v>101</v>
      </c>
      <c r="M2" s="71"/>
      <c r="N2" s="71"/>
      <c r="O2" s="71"/>
      <c r="P2" s="71"/>
      <c r="Q2" s="71"/>
      <c r="R2" s="71"/>
      <c r="S2" s="71"/>
      <c r="T2" s="71"/>
    </row>
    <row r="3" spans="1:20" x14ac:dyDescent="0.25">
      <c r="A3" s="9" t="s">
        <v>2</v>
      </c>
      <c r="D3" s="10"/>
      <c r="G3" s="10"/>
      <c r="H3" s="126"/>
      <c r="I3" s="10"/>
      <c r="K3" s="20"/>
      <c r="L3" s="20"/>
      <c r="M3" s="20"/>
      <c r="N3" s="20"/>
    </row>
    <row r="4" spans="1:20" x14ac:dyDescent="0.25">
      <c r="A4" t="s">
        <v>117</v>
      </c>
      <c r="B4" s="108">
        <v>1.8</v>
      </c>
      <c r="D4" s="126"/>
      <c r="G4" s="126"/>
      <c r="H4" s="126"/>
      <c r="I4" s="126"/>
      <c r="K4" s="20"/>
      <c r="L4" s="20"/>
      <c r="M4" s="20"/>
      <c r="N4" s="20"/>
    </row>
    <row r="5" spans="1:20" x14ac:dyDescent="0.25">
      <c r="A5" t="s">
        <v>118</v>
      </c>
      <c r="B5" s="108">
        <v>0.15</v>
      </c>
      <c r="D5" s="10"/>
      <c r="G5" s="10"/>
      <c r="H5" s="126"/>
      <c r="I5" s="10"/>
      <c r="K5" s="20"/>
      <c r="L5" s="20"/>
      <c r="M5" s="20"/>
      <c r="N5" s="20"/>
    </row>
    <row r="6" spans="1:20" x14ac:dyDescent="0.25">
      <c r="B6" s="3"/>
      <c r="D6" s="10"/>
      <c r="G6" s="10"/>
      <c r="H6" s="126"/>
      <c r="I6" s="10"/>
      <c r="K6" s="20"/>
      <c r="L6" s="20"/>
      <c r="M6" s="20"/>
      <c r="N6" s="20"/>
    </row>
    <row r="7" spans="1:20" ht="30" x14ac:dyDescent="0.25">
      <c r="A7" s="14" t="s">
        <v>0</v>
      </c>
      <c r="B7" s="14" t="s">
        <v>3</v>
      </c>
      <c r="C7" s="14" t="s">
        <v>4</v>
      </c>
      <c r="D7" s="14"/>
      <c r="E7" s="14" t="s">
        <v>121</v>
      </c>
      <c r="F7" s="14" t="s">
        <v>4</v>
      </c>
      <c r="G7" s="14"/>
      <c r="H7" s="14"/>
      <c r="I7" s="14"/>
      <c r="J7" s="14" t="s">
        <v>120</v>
      </c>
      <c r="K7" s="20"/>
      <c r="L7" s="20"/>
      <c r="M7" s="20"/>
      <c r="N7" s="20"/>
    </row>
    <row r="8" spans="1:20" x14ac:dyDescent="0.25">
      <c r="A8" t="s">
        <v>141</v>
      </c>
      <c r="B8" s="118">
        <f>IF(C1=Prices!A1,Prices!B15,IF(C1=Prices!A2,Prices!C15,""))</f>
        <v>145.47</v>
      </c>
      <c r="C8" s="6" t="s">
        <v>41</v>
      </c>
      <c r="D8" s="154" t="s">
        <v>6</v>
      </c>
      <c r="E8" s="192">
        <v>130</v>
      </c>
      <c r="F8" s="6" t="s">
        <v>130</v>
      </c>
      <c r="G8" s="154" t="s">
        <v>6</v>
      </c>
      <c r="H8" s="56">
        <f>B4-IF(B21=0,B5,0)</f>
        <v>1.6500000000000001</v>
      </c>
      <c r="I8" s="11" t="s">
        <v>7</v>
      </c>
      <c r="J8" s="140">
        <f>B8*(E8/100)*H8</f>
        <v>312.03315000000003</v>
      </c>
      <c r="K8" s="20"/>
      <c r="L8" s="20"/>
      <c r="M8" s="20"/>
      <c r="N8" s="20"/>
    </row>
    <row r="9" spans="1:20" x14ac:dyDescent="0.25">
      <c r="A9" t="s">
        <v>119</v>
      </c>
      <c r="B9" s="118">
        <f>IF(C1=Prices!A1, Prices!B16, IF(C1=Prices!A2, Prices!C16, ""))</f>
        <v>46.82</v>
      </c>
      <c r="C9" s="6" t="s">
        <v>41</v>
      </c>
      <c r="D9" s="10" t="s">
        <v>6</v>
      </c>
      <c r="E9" s="192">
        <v>150</v>
      </c>
      <c r="F9" s="6" t="s">
        <v>130</v>
      </c>
      <c r="G9" s="126" t="s">
        <v>6</v>
      </c>
      <c r="H9" s="56">
        <f>B5</f>
        <v>0.15</v>
      </c>
      <c r="I9" s="11" t="s">
        <v>7</v>
      </c>
      <c r="J9" s="140">
        <f>B9*(E9/100)*H9</f>
        <v>10.5345</v>
      </c>
      <c r="K9" s="20"/>
      <c r="L9" s="20"/>
      <c r="M9" s="20"/>
      <c r="N9" s="20"/>
    </row>
    <row r="10" spans="1:20" x14ac:dyDescent="0.25">
      <c r="A10" t="s">
        <v>112</v>
      </c>
      <c r="B10" s="1"/>
      <c r="C10" s="6"/>
      <c r="D10" s="10"/>
      <c r="E10" s="3"/>
      <c r="F10" s="6"/>
      <c r="G10" s="10"/>
      <c r="H10" s="56"/>
      <c r="I10" s="11"/>
      <c r="J10" s="143">
        <v>0</v>
      </c>
      <c r="K10" s="20"/>
      <c r="L10" s="20"/>
      <c r="M10" s="20"/>
      <c r="N10" s="20"/>
    </row>
    <row r="11" spans="1:20" x14ac:dyDescent="0.25">
      <c r="B11" s="1"/>
      <c r="C11" s="6"/>
      <c r="D11" s="126"/>
      <c r="E11" s="3"/>
      <c r="F11" s="6"/>
      <c r="G11" s="126"/>
      <c r="H11" s="126"/>
      <c r="I11" s="11"/>
      <c r="J11" s="144"/>
      <c r="K11" s="20"/>
      <c r="L11" s="20"/>
      <c r="M11" s="20"/>
      <c r="N11" s="20"/>
    </row>
    <row r="12" spans="1:20" x14ac:dyDescent="0.25">
      <c r="A12" s="17" t="s">
        <v>8</v>
      </c>
      <c r="B12" s="12"/>
      <c r="C12" s="12"/>
      <c r="D12" s="13"/>
      <c r="E12" s="12"/>
      <c r="F12" s="12"/>
      <c r="G12" s="13"/>
      <c r="H12" s="13"/>
      <c r="I12" s="13"/>
      <c r="J12" s="145">
        <f>SUM(J8:J10)</f>
        <v>322.56765000000001</v>
      </c>
      <c r="K12" s="20"/>
      <c r="L12" s="20"/>
      <c r="M12" s="20"/>
      <c r="N12" s="20"/>
    </row>
    <row r="13" spans="1:20" x14ac:dyDescent="0.25">
      <c r="A13" s="7"/>
      <c r="D13" s="10"/>
      <c r="G13" s="10"/>
      <c r="H13" s="126"/>
      <c r="I13" s="10"/>
      <c r="J13" s="133"/>
      <c r="K13" s="20"/>
      <c r="L13" s="20"/>
      <c r="M13" s="20"/>
      <c r="N13" s="20"/>
    </row>
    <row r="14" spans="1:20" x14ac:dyDescent="0.25">
      <c r="A14" s="14" t="s">
        <v>11</v>
      </c>
      <c r="B14" s="12"/>
      <c r="C14" s="12"/>
      <c r="D14" s="13"/>
      <c r="E14" s="12"/>
      <c r="F14" s="12"/>
      <c r="G14" s="13"/>
      <c r="H14" s="13"/>
      <c r="I14" s="13"/>
      <c r="J14" s="146"/>
      <c r="L14" s="20"/>
      <c r="M14" s="20"/>
      <c r="N14" s="20"/>
    </row>
    <row r="15" spans="1:20" x14ac:dyDescent="0.25">
      <c r="A15" s="130" t="s">
        <v>22</v>
      </c>
      <c r="B15" s="193">
        <f>IF(C1=Prices!A1, Prices!B12, IF(C1=Prices!A2, Prices!C12, ""))</f>
        <v>19.22</v>
      </c>
      <c r="C15" s="80" t="s">
        <v>25</v>
      </c>
      <c r="D15" s="128" t="s">
        <v>6</v>
      </c>
      <c r="E15" s="196">
        <f>Feed!C5</f>
        <v>1</v>
      </c>
      <c r="F15" s="6" t="s">
        <v>67</v>
      </c>
      <c r="G15" s="127"/>
      <c r="H15" s="127"/>
      <c r="I15" s="127" t="s">
        <v>46</v>
      </c>
      <c r="J15" s="197">
        <f>B15*E15</f>
        <v>19.22</v>
      </c>
      <c r="L15" s="20"/>
      <c r="M15" s="20"/>
      <c r="N15" s="20"/>
    </row>
    <row r="16" spans="1:20" x14ac:dyDescent="0.25">
      <c r="A16" s="130" t="s">
        <v>23</v>
      </c>
      <c r="B16" s="194">
        <f>IF(C1=Prices!A1,(((Feed!C8/Feed!C9)*Prices!B10)+((Feed!C6/Feed!C9)*Prices!B9)+((Feed!C7/Feed!C9)*Prices!B11)),IF(C1=Prices!A2,(((Feed!C8/Feed!C9)*Prices!C10)+((Feed!C6/Feed!C9)*Prices!C9)+((Feed!C7/Feed!C9)*Prices!C11)),""))</f>
        <v>54.816343723673128</v>
      </c>
      <c r="C16" s="80" t="s">
        <v>26</v>
      </c>
      <c r="D16" s="128" t="s">
        <v>6</v>
      </c>
      <c r="E16" s="196">
        <f>Feed!C9</f>
        <v>1187</v>
      </c>
      <c r="F16" s="80" t="s">
        <v>69</v>
      </c>
      <c r="G16" s="125"/>
      <c r="H16" s="125"/>
      <c r="I16" s="131" t="s">
        <v>46</v>
      </c>
      <c r="J16" s="197">
        <f>B16*E16/2000</f>
        <v>32.533499999999997</v>
      </c>
      <c r="L16" s="20"/>
      <c r="M16" s="20"/>
      <c r="N16" s="20"/>
    </row>
    <row r="17" spans="1:14" x14ac:dyDescent="0.25">
      <c r="A17" s="130" t="s">
        <v>28</v>
      </c>
      <c r="B17" s="194">
        <f>IF(C1=Prices!A1,(((Feed!C10/Feed!C12)*(Prices!B7*2000/100))+((Feed!C11/Feed!C12)*Prices!B6)),IF(C1=Prices!A2,(((Feed!C10/Feed!C12)*(Prices!C7*2000/100))+((Feed!C11/Feed!C12)*Prices!C6)),""))</f>
        <v>111.1375</v>
      </c>
      <c r="C17" s="80" t="s">
        <v>26</v>
      </c>
      <c r="D17" s="127" t="s">
        <v>138</v>
      </c>
      <c r="E17" s="196">
        <f>Feed!C12</f>
        <v>672</v>
      </c>
      <c r="F17" s="80" t="s">
        <v>69</v>
      </c>
      <c r="G17" s="127"/>
      <c r="H17" s="127"/>
      <c r="I17" s="131" t="s">
        <v>46</v>
      </c>
      <c r="J17" s="198">
        <f>B17*E17/2000</f>
        <v>37.342200000000005</v>
      </c>
      <c r="L17" s="20"/>
      <c r="M17" s="20"/>
      <c r="N17" s="20"/>
    </row>
    <row r="18" spans="1:14" x14ac:dyDescent="0.25">
      <c r="A18" s="130" t="s">
        <v>27</v>
      </c>
      <c r="B18" s="195">
        <f>IF(C1=Prices!A1,Prices!B13, IF(C1=Prices!A2,Prices!C13, ""))</f>
        <v>3.96</v>
      </c>
      <c r="C18" s="138" t="s">
        <v>26</v>
      </c>
      <c r="D18" s="127" t="s">
        <v>138</v>
      </c>
      <c r="E18" s="196">
        <f>Feed!C13</f>
        <v>19</v>
      </c>
      <c r="F18" s="80" t="s">
        <v>69</v>
      </c>
      <c r="G18" s="127"/>
      <c r="H18" s="127"/>
      <c r="I18" s="131" t="s">
        <v>46</v>
      </c>
      <c r="J18" s="197">
        <f>B18*E18/2000</f>
        <v>3.7620000000000001E-2</v>
      </c>
      <c r="L18" s="20"/>
      <c r="M18" s="20"/>
      <c r="N18" s="20"/>
    </row>
    <row r="19" spans="1:14" x14ac:dyDescent="0.25">
      <c r="A19" s="130" t="s">
        <v>113</v>
      </c>
      <c r="B19" s="109">
        <v>0</v>
      </c>
      <c r="C19" s="80" t="s">
        <v>114</v>
      </c>
      <c r="D19" s="131" t="s">
        <v>138</v>
      </c>
      <c r="E19" s="111">
        <v>0</v>
      </c>
      <c r="F19" s="80" t="s">
        <v>115</v>
      </c>
      <c r="G19" s="131"/>
      <c r="H19" s="131"/>
      <c r="I19" s="131" t="s">
        <v>46</v>
      </c>
      <c r="J19" s="199">
        <f>B19*E19</f>
        <v>0</v>
      </c>
      <c r="L19" s="20"/>
      <c r="M19" s="20"/>
      <c r="N19" s="20"/>
    </row>
    <row r="20" spans="1:14" x14ac:dyDescent="0.25">
      <c r="A20" t="s">
        <v>29</v>
      </c>
      <c r="B20" s="109">
        <v>20</v>
      </c>
      <c r="C20" s="6" t="s">
        <v>57</v>
      </c>
      <c r="D20" s="125" t="s">
        <v>45</v>
      </c>
      <c r="E20" s="111">
        <v>4.2</v>
      </c>
      <c r="F20" s="6" t="s">
        <v>84</v>
      </c>
      <c r="G20" s="125"/>
      <c r="H20" s="125"/>
      <c r="I20" s="131" t="s">
        <v>46</v>
      </c>
      <c r="J20" s="199">
        <f>B20*E20</f>
        <v>84</v>
      </c>
      <c r="L20" s="20"/>
      <c r="M20" s="20"/>
      <c r="N20" s="20"/>
    </row>
    <row r="21" spans="1:14" x14ac:dyDescent="0.25">
      <c r="A21" s="152" t="s">
        <v>139</v>
      </c>
      <c r="B21" s="97">
        <v>0</v>
      </c>
      <c r="C21" s="6" t="s">
        <v>165</v>
      </c>
      <c r="D21" s="151" t="s">
        <v>45</v>
      </c>
      <c r="E21" s="153">
        <f>B5</f>
        <v>0.15</v>
      </c>
      <c r="F21" s="6" t="s">
        <v>140</v>
      </c>
      <c r="G21" s="151"/>
      <c r="H21" s="151"/>
      <c r="I21" s="151"/>
      <c r="J21" s="199">
        <f>E21*B21</f>
        <v>0</v>
      </c>
      <c r="L21" s="20"/>
      <c r="M21" s="20"/>
      <c r="N21" s="20"/>
    </row>
    <row r="22" spans="1:14" x14ac:dyDescent="0.25">
      <c r="A22" s="152" t="s">
        <v>166</v>
      </c>
      <c r="C22" s="6"/>
      <c r="D22" s="151"/>
      <c r="E22" s="153"/>
      <c r="F22" s="6"/>
      <c r="G22" s="151"/>
      <c r="H22" s="151"/>
      <c r="I22" s="151"/>
      <c r="J22" s="141">
        <f>(550-65)/5*2.5%</f>
        <v>2.4250000000000003</v>
      </c>
      <c r="L22" s="20"/>
      <c r="M22" s="20"/>
      <c r="N22" s="20"/>
    </row>
    <row r="23" spans="1:14" x14ac:dyDescent="0.25">
      <c r="A23" t="s">
        <v>30</v>
      </c>
      <c r="B23" s="139"/>
      <c r="C23" s="6"/>
      <c r="D23" s="125"/>
      <c r="E23" s="29"/>
      <c r="F23" s="29"/>
      <c r="G23" s="125"/>
      <c r="H23" s="125"/>
      <c r="I23" s="125"/>
      <c r="J23" s="141">
        <v>6</v>
      </c>
      <c r="L23" s="20"/>
      <c r="M23" s="20"/>
      <c r="N23" s="20"/>
    </row>
    <row r="24" spans="1:14" x14ac:dyDescent="0.25">
      <c r="A24" t="s">
        <v>103</v>
      </c>
      <c r="B24" s="139"/>
      <c r="C24" s="6"/>
      <c r="D24" s="125"/>
      <c r="E24" s="29"/>
      <c r="F24" s="29"/>
      <c r="G24" s="125"/>
      <c r="H24" s="125"/>
      <c r="I24" s="125"/>
      <c r="J24" s="141">
        <v>4</v>
      </c>
      <c r="L24" s="20"/>
      <c r="M24" s="20"/>
      <c r="N24" s="20"/>
    </row>
    <row r="25" spans="1:14" x14ac:dyDescent="0.25">
      <c r="A25" t="s">
        <v>122</v>
      </c>
      <c r="B25" s="109"/>
      <c r="C25" s="6"/>
      <c r="D25" s="125"/>
      <c r="E25" s="29"/>
      <c r="F25" s="29"/>
      <c r="G25" s="125"/>
      <c r="H25" s="125"/>
      <c r="I25" s="131"/>
      <c r="J25" s="143">
        <v>5</v>
      </c>
      <c r="L25" s="20"/>
      <c r="M25" s="20"/>
      <c r="N25" s="20"/>
    </row>
    <row r="26" spans="1:14" x14ac:dyDescent="0.25">
      <c r="A26" t="s">
        <v>31</v>
      </c>
      <c r="B26" s="135"/>
      <c r="C26" s="6"/>
      <c r="D26" s="125"/>
      <c r="E26" s="29"/>
      <c r="F26" s="29"/>
      <c r="G26" s="125"/>
      <c r="H26" s="125"/>
      <c r="I26" s="125"/>
      <c r="J26" s="141">
        <v>6.5</v>
      </c>
      <c r="L26" s="20"/>
      <c r="M26" s="20"/>
      <c r="N26" s="20"/>
    </row>
    <row r="27" spans="1:14" x14ac:dyDescent="0.25">
      <c r="A27" t="s">
        <v>59</v>
      </c>
      <c r="B27" s="135"/>
      <c r="C27" s="6"/>
      <c r="D27" s="125"/>
      <c r="E27" s="29"/>
      <c r="F27" s="29"/>
      <c r="G27" s="125"/>
      <c r="H27" s="125"/>
      <c r="I27" s="125"/>
      <c r="J27" s="141">
        <v>6</v>
      </c>
      <c r="L27" s="20"/>
      <c r="M27" s="20"/>
      <c r="N27" s="20"/>
    </row>
    <row r="28" spans="1:14" x14ac:dyDescent="0.25">
      <c r="A28" s="29" t="s">
        <v>123</v>
      </c>
      <c r="B28" s="135"/>
      <c r="C28" s="29"/>
      <c r="D28" s="125"/>
      <c r="E28" s="29"/>
      <c r="F28" s="29"/>
      <c r="G28" s="125"/>
      <c r="H28" s="125"/>
      <c r="I28" s="125"/>
      <c r="J28" s="141">
        <v>0</v>
      </c>
      <c r="L28" s="20"/>
      <c r="M28" s="20"/>
      <c r="N28" s="20"/>
    </row>
    <row r="29" spans="1:14" x14ac:dyDescent="0.25">
      <c r="A29" s="12" t="s">
        <v>111</v>
      </c>
      <c r="B29" s="136"/>
      <c r="C29" s="12"/>
      <c r="D29" s="13"/>
      <c r="E29" s="12"/>
      <c r="F29" s="12"/>
      <c r="G29" s="13"/>
      <c r="H29" s="13"/>
      <c r="I29" s="13"/>
      <c r="J29" s="142">
        <v>8.5</v>
      </c>
      <c r="L29" s="20"/>
      <c r="M29" s="20"/>
      <c r="N29" s="20"/>
    </row>
    <row r="30" spans="1:14" x14ac:dyDescent="0.25">
      <c r="A30" s="7" t="s">
        <v>15</v>
      </c>
      <c r="B30" s="29"/>
      <c r="C30" s="29"/>
      <c r="D30" s="125"/>
      <c r="E30" s="29"/>
      <c r="F30" s="29"/>
      <c r="G30" s="125"/>
      <c r="H30" s="125"/>
      <c r="I30" s="125"/>
      <c r="J30" s="147">
        <f>SUM(J15:J29)</f>
        <v>211.55832000000001</v>
      </c>
      <c r="L30" s="20"/>
      <c r="M30" s="20"/>
      <c r="N30" s="20"/>
    </row>
    <row r="31" spans="1:14" x14ac:dyDescent="0.25">
      <c r="A31" s="7"/>
      <c r="B31" s="29"/>
      <c r="C31" s="29"/>
      <c r="D31" s="131"/>
      <c r="E31" s="29"/>
      <c r="F31" s="29"/>
      <c r="G31" s="131"/>
      <c r="H31" s="131"/>
      <c r="I31" s="131"/>
      <c r="J31" s="148"/>
      <c r="L31" s="20"/>
      <c r="M31" s="20"/>
      <c r="N31" s="20"/>
    </row>
    <row r="32" spans="1:14" x14ac:dyDescent="0.25">
      <c r="A32" s="14" t="s">
        <v>12</v>
      </c>
      <c r="B32" s="12"/>
      <c r="C32" s="12"/>
      <c r="D32" s="13"/>
      <c r="E32" s="12"/>
      <c r="F32" s="12"/>
      <c r="G32" s="13"/>
      <c r="H32" s="13"/>
      <c r="I32" s="13"/>
      <c r="J32" s="146"/>
      <c r="K32" s="20"/>
      <c r="L32" s="20"/>
      <c r="M32" s="20"/>
      <c r="N32" s="20"/>
    </row>
    <row r="33" spans="1:17" x14ac:dyDescent="0.25">
      <c r="A33" t="s">
        <v>134</v>
      </c>
      <c r="D33" s="10"/>
      <c r="G33" s="10"/>
      <c r="H33" s="126"/>
      <c r="I33" s="10"/>
      <c r="J33" s="141">
        <v>15</v>
      </c>
      <c r="K33" s="20"/>
      <c r="L33" s="20"/>
      <c r="M33" s="20"/>
      <c r="N33" s="20"/>
    </row>
    <row r="34" spans="1:17" x14ac:dyDescent="0.25">
      <c r="A34" t="s">
        <v>135</v>
      </c>
      <c r="D34" s="132"/>
      <c r="G34" s="132"/>
      <c r="H34" s="132"/>
      <c r="I34" s="132"/>
      <c r="J34" s="141">
        <v>1</v>
      </c>
      <c r="K34" s="20"/>
      <c r="L34" s="20"/>
      <c r="M34" s="20"/>
      <c r="N34" s="20"/>
    </row>
    <row r="35" spans="1:17" x14ac:dyDescent="0.25">
      <c r="A35" t="s">
        <v>136</v>
      </c>
      <c r="D35" s="10"/>
      <c r="G35" s="10"/>
      <c r="H35" s="126"/>
      <c r="I35" s="10"/>
      <c r="J35" s="141">
        <v>5</v>
      </c>
      <c r="K35" s="20"/>
      <c r="L35" s="20"/>
      <c r="M35" s="20"/>
      <c r="N35" s="20"/>
    </row>
    <row r="36" spans="1:17" x14ac:dyDescent="0.25">
      <c r="A36" t="s">
        <v>137</v>
      </c>
      <c r="D36" s="128"/>
      <c r="G36" s="128"/>
      <c r="H36" s="128"/>
      <c r="I36" s="128"/>
      <c r="J36" s="141">
        <v>17</v>
      </c>
      <c r="K36" s="50"/>
      <c r="L36" s="20"/>
      <c r="M36" s="20"/>
      <c r="N36" s="20"/>
    </row>
    <row r="37" spans="1:17" x14ac:dyDescent="0.25">
      <c r="A37" s="51" t="s">
        <v>124</v>
      </c>
      <c r="B37" s="12"/>
      <c r="C37" s="12"/>
      <c r="D37" s="13"/>
      <c r="E37" s="12"/>
      <c r="F37" s="12"/>
      <c r="G37" s="13"/>
      <c r="H37" s="13"/>
      <c r="I37" s="13"/>
      <c r="J37" s="142">
        <v>0</v>
      </c>
      <c r="K37" s="50"/>
      <c r="L37" s="20"/>
      <c r="M37" s="20"/>
      <c r="N37" s="20"/>
    </row>
    <row r="38" spans="1:17" x14ac:dyDescent="0.25">
      <c r="A38" s="7" t="s">
        <v>13</v>
      </c>
      <c r="D38" s="10"/>
      <c r="G38" s="10"/>
      <c r="H38" s="126"/>
      <c r="I38" s="10"/>
      <c r="J38" s="147">
        <f>SUM(J33:J37)</f>
        <v>38</v>
      </c>
      <c r="K38" s="20"/>
      <c r="L38" s="20"/>
      <c r="M38" s="20"/>
      <c r="N38" s="20"/>
    </row>
    <row r="39" spans="1:17" ht="15" customHeight="1" x14ac:dyDescent="0.25">
      <c r="D39" s="10"/>
      <c r="G39" s="10"/>
      <c r="H39" s="126"/>
      <c r="I39" s="10"/>
      <c r="J39" s="140"/>
      <c r="K39" s="20"/>
      <c r="L39" s="20"/>
      <c r="M39" s="20"/>
      <c r="N39" s="20"/>
    </row>
    <row r="40" spans="1:17" x14ac:dyDescent="0.25">
      <c r="A40" s="14" t="s">
        <v>14</v>
      </c>
      <c r="B40" s="12"/>
      <c r="C40" s="12"/>
      <c r="D40" s="13"/>
      <c r="E40" s="12"/>
      <c r="F40" s="12"/>
      <c r="G40" s="13"/>
      <c r="H40" s="13"/>
      <c r="I40" s="13"/>
      <c r="J40" s="145">
        <f>J30+J38</f>
        <v>249.55832000000001</v>
      </c>
      <c r="K40" s="20"/>
      <c r="L40" s="20"/>
      <c r="M40" s="20"/>
      <c r="N40" s="20"/>
    </row>
    <row r="41" spans="1:17" x14ac:dyDescent="0.25">
      <c r="A41" s="28"/>
      <c r="B41" s="29"/>
      <c r="C41" s="29"/>
      <c r="D41" s="30"/>
      <c r="E41" s="29"/>
      <c r="F41" s="29"/>
      <c r="G41" s="30"/>
      <c r="H41" s="125"/>
      <c r="I41" s="30"/>
      <c r="J41" s="149"/>
    </row>
    <row r="42" spans="1:17" x14ac:dyDescent="0.25">
      <c r="A42" t="s">
        <v>34</v>
      </c>
      <c r="D42" s="10"/>
      <c r="G42" s="10"/>
      <c r="H42" s="126"/>
      <c r="I42" s="10"/>
      <c r="J42" s="140">
        <f>J12-J30</f>
        <v>111.00933000000001</v>
      </c>
      <c r="Q42" s="29"/>
    </row>
    <row r="43" spans="1:17" ht="15.75" thickBot="1" x14ac:dyDescent="0.3">
      <c r="A43" s="2" t="s">
        <v>16</v>
      </c>
      <c r="D43" s="10"/>
      <c r="G43" s="10"/>
      <c r="H43" s="126"/>
      <c r="I43" s="10"/>
      <c r="J43" s="150">
        <f>J12-J40</f>
        <v>73.009330000000006</v>
      </c>
      <c r="Q43" s="29"/>
    </row>
    <row r="44" spans="1:17" ht="10.5" customHeight="1" thickTop="1" x14ac:dyDescent="0.25"/>
    <row r="45" spans="1:17" ht="11.25" customHeight="1" x14ac:dyDescent="0.25">
      <c r="A45" s="28"/>
      <c r="B45" s="29"/>
      <c r="C45" s="29"/>
      <c r="D45" s="30"/>
      <c r="E45" s="29"/>
      <c r="F45" s="29"/>
      <c r="G45" s="30"/>
      <c r="H45" s="125"/>
      <c r="I45" s="30"/>
      <c r="J45" s="16"/>
    </row>
    <row r="46" spans="1:17" ht="15" customHeight="1" x14ac:dyDescent="0.25">
      <c r="A46" s="224" t="s">
        <v>42</v>
      </c>
      <c r="B46" s="224"/>
      <c r="C46" s="224"/>
      <c r="D46" s="224"/>
      <c r="E46" s="224"/>
      <c r="F46" s="224"/>
      <c r="G46" s="224"/>
      <c r="H46" s="224"/>
      <c r="I46" s="224"/>
      <c r="J46" s="224"/>
    </row>
    <row r="47" spans="1:17" ht="16.5" customHeight="1" x14ac:dyDescent="0.25">
      <c r="A47" s="32" t="s">
        <v>132</v>
      </c>
      <c r="B47" s="32"/>
      <c r="C47" s="32"/>
      <c r="D47" s="32"/>
      <c r="E47" s="32"/>
      <c r="F47" s="32"/>
      <c r="G47" s="32"/>
      <c r="H47" s="32"/>
      <c r="I47" s="217" t="str">
        <f>Introduction!L8</f>
        <v>Version- 9.6.2016</v>
      </c>
      <c r="J47" s="217"/>
    </row>
    <row r="48" spans="1:17" ht="22.5" customHeight="1" x14ac:dyDescent="0.25">
      <c r="B48" s="35"/>
    </row>
    <row r="49" spans="1:10" ht="27" customHeight="1" thickBot="1" x14ac:dyDescent="0.35">
      <c r="A49" s="219" t="s">
        <v>133</v>
      </c>
      <c r="B49" s="220"/>
      <c r="C49" s="221"/>
      <c r="D49" s="221"/>
      <c r="E49" s="221"/>
      <c r="F49" s="221"/>
      <c r="G49" s="222"/>
      <c r="H49" s="222"/>
      <c r="I49" s="222"/>
      <c r="J49" s="222"/>
    </row>
    <row r="91" spans="1:10" ht="12.75" customHeight="1" x14ac:dyDescent="0.25"/>
    <row r="92" spans="1:10" ht="17.25" customHeight="1" x14ac:dyDescent="0.25"/>
    <row r="93" spans="1:10" ht="15" customHeight="1" x14ac:dyDescent="0.25">
      <c r="A93" s="224" t="s">
        <v>42</v>
      </c>
      <c r="B93" s="224"/>
      <c r="C93" s="224"/>
      <c r="D93" s="224"/>
      <c r="E93" s="224"/>
      <c r="F93" s="224"/>
      <c r="G93" s="224"/>
      <c r="H93" s="224"/>
      <c r="I93" s="224"/>
      <c r="J93" s="224"/>
    </row>
    <row r="94" spans="1:10" ht="16.5" customHeight="1" x14ac:dyDescent="0.25">
      <c r="A94" s="32" t="str">
        <f>A47</f>
        <v>Publication: AM-FMG-Once-a-Year Lambing</v>
      </c>
      <c r="B94" s="32"/>
      <c r="C94" s="32"/>
      <c r="D94" s="32"/>
      <c r="E94" s="32"/>
      <c r="F94" s="32"/>
      <c r="G94" s="32"/>
      <c r="H94" s="32"/>
      <c r="I94" s="217" t="str">
        <f>I47</f>
        <v>Version- 9.6.2016</v>
      </c>
      <c r="J94" s="217"/>
    </row>
    <row r="95" spans="1:10" ht="22.5" customHeight="1" x14ac:dyDescent="0.25">
      <c r="A95" s="61"/>
      <c r="B95" s="61"/>
      <c r="C95" s="61"/>
      <c r="D95" s="61"/>
      <c r="E95" s="61"/>
      <c r="F95" s="61"/>
      <c r="G95" s="61"/>
      <c r="H95" s="61"/>
      <c r="I95" s="61"/>
      <c r="J95" s="61"/>
    </row>
    <row r="96" spans="1:10" ht="27" customHeight="1" thickBot="1" x14ac:dyDescent="0.35">
      <c r="A96" s="219" t="s">
        <v>127</v>
      </c>
      <c r="B96" s="220"/>
      <c r="C96" s="221"/>
      <c r="D96" s="221"/>
      <c r="E96" s="221"/>
      <c r="F96" s="221"/>
      <c r="G96" s="222"/>
      <c r="H96" s="222"/>
      <c r="I96" s="222"/>
      <c r="J96" s="222"/>
    </row>
    <row r="97" spans="1:5" ht="15.75" x14ac:dyDescent="0.25">
      <c r="A97" s="62" t="s">
        <v>85</v>
      </c>
    </row>
    <row r="99" spans="1:5" ht="15.75" thickBot="1" x14ac:dyDescent="0.3">
      <c r="A99" s="47" t="s">
        <v>125</v>
      </c>
      <c r="B99" s="46" t="s">
        <v>131</v>
      </c>
      <c r="C99" s="46"/>
      <c r="D99" s="46"/>
      <c r="E99" s="46"/>
    </row>
    <row r="100" spans="1:5" x14ac:dyDescent="0.25">
      <c r="A100" s="28"/>
      <c r="B100" s="14" t="s">
        <v>18</v>
      </c>
      <c r="C100" s="14" t="s">
        <v>4</v>
      </c>
      <c r="D100" s="29"/>
      <c r="E100" s="29"/>
    </row>
    <row r="101" spans="1:5" x14ac:dyDescent="0.25">
      <c r="A101" t="str">
        <f>Feed!B5</f>
        <v>Pasture</v>
      </c>
      <c r="B101" s="137">
        <f>Feed!C5</f>
        <v>1</v>
      </c>
      <c r="C101" s="6" t="str">
        <f>Feed!D5</f>
        <v>total acres per year</v>
      </c>
      <c r="D101" s="6"/>
    </row>
    <row r="102" spans="1:5" x14ac:dyDescent="0.25">
      <c r="A102" s="129" t="str">
        <f>Feed!B6</f>
        <v>Silage</v>
      </c>
      <c r="B102" s="137">
        <f>Feed!C6</f>
        <v>730</v>
      </c>
      <c r="C102" s="6" t="str">
        <f>Feed!D6</f>
        <v>total lbs per year</v>
      </c>
      <c r="D102" s="6"/>
    </row>
    <row r="103" spans="1:5" x14ac:dyDescent="0.25">
      <c r="A103" s="129" t="str">
        <f>Feed!B7</f>
        <v>Alfalfa</v>
      </c>
      <c r="B103" s="137">
        <f>Feed!C7</f>
        <v>457</v>
      </c>
      <c r="C103" s="6" t="str">
        <f>Feed!D7</f>
        <v>total lbs per year</v>
      </c>
      <c r="D103" s="6"/>
    </row>
    <row r="104" spans="1:5" x14ac:dyDescent="0.25">
      <c r="A104" s="129" t="str">
        <f>Feed!B8</f>
        <v>Prairie Hay</v>
      </c>
      <c r="B104" s="137">
        <f>Feed!C8</f>
        <v>0</v>
      </c>
      <c r="C104" s="6" t="str">
        <f>Feed!D8</f>
        <v>total lbs per year</v>
      </c>
      <c r="D104" s="6"/>
    </row>
    <row r="105" spans="1:5" x14ac:dyDescent="0.25">
      <c r="A105" t="str">
        <f>Feed!B9</f>
        <v>Total Harvested Forage</v>
      </c>
      <c r="B105" s="137">
        <f>Feed!C9</f>
        <v>1187</v>
      </c>
      <c r="C105" s="6" t="str">
        <f>Feed!D9</f>
        <v>total lbs per year</v>
      </c>
      <c r="D105" s="6"/>
    </row>
    <row r="106" spans="1:5" x14ac:dyDescent="0.25">
      <c r="A106" s="129" t="str">
        <f>Feed!B10</f>
        <v>Grain Sorghum</v>
      </c>
      <c r="B106" s="137">
        <f>Feed!C10</f>
        <v>630</v>
      </c>
      <c r="C106" s="6" t="str">
        <f>Feed!D10</f>
        <v>total lbs per year</v>
      </c>
      <c r="D106" s="6"/>
    </row>
    <row r="107" spans="1:5" x14ac:dyDescent="0.25">
      <c r="A107" s="129" t="str">
        <f>Feed!B11</f>
        <v>Protein Supplement</v>
      </c>
      <c r="B107" s="137">
        <f>Feed!C11</f>
        <v>42</v>
      </c>
      <c r="C107" s="6" t="str">
        <f>Feed!D11</f>
        <v>total lbs per year</v>
      </c>
      <c r="D107" s="6"/>
    </row>
    <row r="108" spans="1:5" x14ac:dyDescent="0.25">
      <c r="A108" t="str">
        <f>Feed!B12</f>
        <v>Total Grain/Protein Supplements</v>
      </c>
      <c r="B108" s="137">
        <f>Feed!C12</f>
        <v>672</v>
      </c>
      <c r="C108" s="6" t="str">
        <f>Feed!D12</f>
        <v>total lbs per year</v>
      </c>
      <c r="D108" s="6"/>
    </row>
    <row r="109" spans="1:5" x14ac:dyDescent="0.25">
      <c r="A109" t="str">
        <f>Feed!B13</f>
        <v>Mineral</v>
      </c>
      <c r="B109" s="137">
        <f>Feed!C13</f>
        <v>19</v>
      </c>
      <c r="C109" s="6" t="str">
        <f>Feed!D13</f>
        <v>total lbs per year</v>
      </c>
      <c r="D109" s="6"/>
    </row>
    <row r="110" spans="1:5" x14ac:dyDescent="0.25">
      <c r="B110" s="45"/>
      <c r="C110" s="6"/>
      <c r="D110" s="6"/>
    </row>
    <row r="113" spans="1:6" ht="15.75" thickBot="1" x14ac:dyDescent="0.3">
      <c r="A113" s="47" t="s">
        <v>162</v>
      </c>
      <c r="B113" s="46"/>
      <c r="C113" s="46"/>
      <c r="D113" s="46"/>
      <c r="E113" s="46"/>
      <c r="F113" s="46"/>
    </row>
    <row r="114" spans="1:6" ht="30" customHeight="1" x14ac:dyDescent="0.25">
      <c r="A114" s="57"/>
      <c r="B114" s="59" t="s">
        <v>86</v>
      </c>
      <c r="C114" s="223" t="s">
        <v>87</v>
      </c>
      <c r="D114" s="223"/>
    </row>
    <row r="115" spans="1:6" x14ac:dyDescent="0.25">
      <c r="A115" t="str">
        <f>Prices!A6</f>
        <v>Protein Supplement ($/ton)</v>
      </c>
      <c r="B115" s="58">
        <f>Prices!B6</f>
        <v>311.2</v>
      </c>
      <c r="C115" s="225">
        <f>Prices!C6</f>
        <v>303.2</v>
      </c>
      <c r="D115" s="225"/>
    </row>
    <row r="116" spans="1:6" x14ac:dyDescent="0.25">
      <c r="A116" t="str">
        <f>Prices!A7</f>
        <v>Grain Sorghum ($/cwt)</v>
      </c>
      <c r="B116" s="58">
        <f>Prices!B7</f>
        <v>4.8899999999999997</v>
      </c>
      <c r="C116" s="218">
        <f>Prices!C7</f>
        <v>5.6088717948717939</v>
      </c>
      <c r="D116" s="218"/>
    </row>
    <row r="117" spans="1:6" x14ac:dyDescent="0.25">
      <c r="A117" t="str">
        <f>Prices!A9</f>
        <v>Silage ($/ton)</v>
      </c>
      <c r="B117" s="58">
        <f>Prices!B9</f>
        <v>23.4</v>
      </c>
      <c r="C117" s="218">
        <f>Prices!C9</f>
        <v>26.839999999999996</v>
      </c>
      <c r="D117" s="218"/>
    </row>
    <row r="118" spans="1:6" x14ac:dyDescent="0.25">
      <c r="A118" t="str">
        <f>Prices!A10</f>
        <v>Prairie Hay ($/ton)</v>
      </c>
      <c r="B118" s="58">
        <f>Prices!B10</f>
        <v>60</v>
      </c>
      <c r="C118" s="218">
        <f>Prices!C10</f>
        <v>68.820512820512818</v>
      </c>
      <c r="D118" s="218"/>
    </row>
    <row r="119" spans="1:6" x14ac:dyDescent="0.25">
      <c r="A119" t="str">
        <f>Prices!A11</f>
        <v>Alfalfa ($/ton)</v>
      </c>
      <c r="B119" s="58">
        <f>Prices!B11</f>
        <v>105</v>
      </c>
      <c r="C119" s="218">
        <f>Prices!C11</f>
        <v>120.43589743589743</v>
      </c>
      <c r="D119" s="218"/>
    </row>
    <row r="120" spans="1:6" x14ac:dyDescent="0.25">
      <c r="A120" t="str">
        <f>Prices!A12</f>
        <v>Pasture Rental ($/acre)</v>
      </c>
      <c r="B120" s="58">
        <f>Prices!B12</f>
        <v>19.22</v>
      </c>
      <c r="C120" s="218">
        <f>Prices!C12</f>
        <v>19.604399999999998</v>
      </c>
      <c r="D120" s="218"/>
    </row>
    <row r="121" spans="1:6" x14ac:dyDescent="0.25">
      <c r="A121" t="str">
        <f>Prices!A13</f>
        <v>Sheep Mineral ($/lb)</v>
      </c>
      <c r="B121" s="58">
        <f>Prices!B13</f>
        <v>3.96</v>
      </c>
      <c r="C121" s="218">
        <f>Prices!C13</f>
        <v>4.0392000000000001</v>
      </c>
      <c r="D121" s="218"/>
    </row>
    <row r="122" spans="1:6" x14ac:dyDescent="0.25">
      <c r="A122" t="str">
        <f>Prices!A15</f>
        <v>Sept. Slaughter Lamb Price ($/cwt)</v>
      </c>
      <c r="B122" s="58">
        <f>Prices!B15</f>
        <v>145.47</v>
      </c>
      <c r="C122" s="218">
        <f>Prices!C15</f>
        <v>143.69</v>
      </c>
      <c r="D122" s="218"/>
    </row>
    <row r="123" spans="1:6" x14ac:dyDescent="0.25">
      <c r="A123" t="str">
        <f>Prices!A16</f>
        <v>Current Cull Ewe Price ($/cwt)</v>
      </c>
      <c r="B123" s="58">
        <f>Prices!B16</f>
        <v>46.82</v>
      </c>
      <c r="C123" s="218">
        <f>Prices!C16</f>
        <v>46.18</v>
      </c>
      <c r="D123" s="218"/>
    </row>
    <row r="124" spans="1:6" x14ac:dyDescent="0.25">
      <c r="B124" s="58"/>
      <c r="C124" s="60"/>
      <c r="D124" s="30"/>
      <c r="E124" s="60"/>
      <c r="F124" s="30"/>
    </row>
    <row r="125" spans="1:6" ht="18" customHeight="1" x14ac:dyDescent="0.25">
      <c r="B125" s="58"/>
      <c r="C125" s="60"/>
      <c r="D125" s="30"/>
      <c r="E125" s="60"/>
      <c r="F125" s="30"/>
    </row>
    <row r="126" spans="1:6" ht="12" customHeight="1" x14ac:dyDescent="0.25">
      <c r="B126" s="58"/>
      <c r="C126" s="60"/>
      <c r="D126" s="30"/>
      <c r="E126" s="60"/>
      <c r="F126" s="30"/>
    </row>
    <row r="127" spans="1:6" x14ac:dyDescent="0.25">
      <c r="B127" s="58"/>
      <c r="C127" s="60"/>
      <c r="D127" s="30"/>
      <c r="E127" s="60"/>
      <c r="F127" s="30"/>
    </row>
    <row r="128" spans="1:6" ht="63" customHeight="1" x14ac:dyDescent="0.25">
      <c r="B128" s="58"/>
      <c r="C128" s="60"/>
      <c r="D128" s="30"/>
      <c r="E128" s="60"/>
      <c r="F128" s="30"/>
    </row>
    <row r="129" spans="1:10" ht="15.75" customHeight="1" x14ac:dyDescent="0.25"/>
    <row r="130" spans="1:10" ht="15" customHeight="1" x14ac:dyDescent="0.25">
      <c r="A130" s="224" t="s">
        <v>42</v>
      </c>
      <c r="B130" s="224"/>
      <c r="C130" s="224"/>
      <c r="D130" s="224"/>
      <c r="E130" s="224"/>
      <c r="F130" s="224"/>
      <c r="G130" s="224"/>
      <c r="H130" s="224"/>
      <c r="I130" s="224"/>
      <c r="J130" s="224"/>
    </row>
    <row r="131" spans="1:10" ht="15.75" x14ac:dyDescent="0.25">
      <c r="A131" s="32" t="str">
        <f>A47</f>
        <v>Publication: AM-FMG-Once-a-Year Lambing</v>
      </c>
      <c r="B131" s="32"/>
      <c r="C131" s="32"/>
      <c r="D131" s="32"/>
      <c r="E131" s="32"/>
      <c r="F131" s="32"/>
      <c r="G131" s="32"/>
      <c r="H131" s="32"/>
      <c r="I131" s="217" t="str">
        <f>I94</f>
        <v>Version- 9.6.2016</v>
      </c>
      <c r="J131" s="217"/>
    </row>
  </sheetData>
  <sheetProtection sheet="1" objects="1" scenarios="1"/>
  <dataConsolidate/>
  <mergeCells count="25">
    <mergeCell ref="A46:J46"/>
    <mergeCell ref="A1:B1"/>
    <mergeCell ref="C1:F1"/>
    <mergeCell ref="G1:J1"/>
    <mergeCell ref="A93:J93"/>
    <mergeCell ref="A49:B49"/>
    <mergeCell ref="C49:F49"/>
    <mergeCell ref="G49:J49"/>
    <mergeCell ref="I47:J47"/>
    <mergeCell ref="I94:J94"/>
    <mergeCell ref="I131:J131"/>
    <mergeCell ref="C123:D123"/>
    <mergeCell ref="C122:D122"/>
    <mergeCell ref="A96:B96"/>
    <mergeCell ref="C96:F96"/>
    <mergeCell ref="G96:J96"/>
    <mergeCell ref="C114:D114"/>
    <mergeCell ref="A130:J130"/>
    <mergeCell ref="C117:D117"/>
    <mergeCell ref="C118:D118"/>
    <mergeCell ref="C119:D119"/>
    <mergeCell ref="C120:D120"/>
    <mergeCell ref="C121:D121"/>
    <mergeCell ref="C115:D115"/>
    <mergeCell ref="C116:D116"/>
  </mergeCells>
  <pageMargins left="0.25" right="0.25" top="0.75" bottom="0.5" header="0.3" footer="0"/>
  <pageSetup scale="92" orientation="portrait" horizontalDpi="4294967295" verticalDpi="4294967295" r:id="rId1"/>
  <headerFooter scaleWithDoc="0">
    <oddHeader xml:space="preserve">&amp;L&amp;"-,Bold"&amp;20FARM MANAGEMENT GUIDE &amp;"-,Regular"        
</oddHeader>
  </headerFooter>
  <rowBreaks count="2" manualBreakCount="2">
    <brk id="48" max="9" man="1"/>
    <brk id="95" max="9" man="1"/>
  </rowBreaks>
  <ignoredErrors>
    <ignoredError sqref="E2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22" r:id="rId4" name="Button 6">
              <controlPr defaultSize="0" print="0" autoFill="0" autoPict="0" macro="[0]!PrintCowCalfBudget">
                <anchor moveWithCells="1" sizeWithCells="1">
                  <from>
                    <xdr:col>11</xdr:col>
                    <xdr:colOff>9525</xdr:colOff>
                    <xdr:row>3</xdr:row>
                    <xdr:rowOff>114300</xdr:rowOff>
                  </from>
                  <to>
                    <xdr:col>14</xdr:col>
                    <xdr:colOff>447675</xdr:colOff>
                    <xdr:row>5</xdr:row>
                    <xdr:rowOff>0</xdr:rowOff>
                  </to>
                </anchor>
              </controlPr>
            </control>
          </mc:Choice>
        </mc:AlternateContent>
        <mc:AlternateContent xmlns:mc="http://schemas.openxmlformats.org/markup-compatibility/2006">
          <mc:Choice Requires="x14">
            <control shapeId="9224" r:id="rId5" name="Button 8">
              <controlPr defaultSize="0" print="0" autoFill="0" autoPict="0" macro="[0]!PrintCowCalfPage">
                <anchor moveWithCells="1" sizeWithCells="1">
                  <from>
                    <xdr:col>11</xdr:col>
                    <xdr:colOff>9525</xdr:colOff>
                    <xdr:row>6</xdr:row>
                    <xdr:rowOff>19050</xdr:rowOff>
                  </from>
                  <to>
                    <xdr:col>14</xdr:col>
                    <xdr:colOff>438150</xdr:colOff>
                    <xdr:row>6</xdr:row>
                    <xdr:rowOff>361950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showInputMessage="1" showErrorMessage="1" prompt="Select a price horizon to budget from">
          <x14:formula1>
            <xm:f>Prices!$A$1:$A$2</xm:f>
          </x14:formula1>
          <xm:sqref>C1:F1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sheetPr>
  <dimension ref="A1:T136"/>
  <sheetViews>
    <sheetView topLeftCell="A13" zoomScale="110" zoomScaleNormal="110" workbookViewId="0">
      <selection activeCell="J35" sqref="J35"/>
    </sheetView>
  </sheetViews>
  <sheetFormatPr defaultRowHeight="15" x14ac:dyDescent="0.25"/>
  <cols>
    <col min="1" max="1" width="30.5703125" customWidth="1"/>
    <col min="2" max="2" width="12.85546875" customWidth="1"/>
    <col min="3" max="3" width="11.5703125" customWidth="1"/>
    <col min="4" max="4" width="2.85546875" bestFit="1" customWidth="1"/>
    <col min="5" max="5" width="7.5703125" bestFit="1" customWidth="1"/>
    <col min="6" max="6" width="7" customWidth="1"/>
    <col min="7" max="8" width="4.42578125" customWidth="1"/>
    <col min="9" max="9" width="7.42578125" customWidth="1"/>
    <col min="10" max="10" width="14.7109375" customWidth="1"/>
  </cols>
  <sheetData>
    <row r="1" spans="1:20" ht="22.5" customHeight="1" x14ac:dyDescent="0.25">
      <c r="A1" s="226" t="s">
        <v>62</v>
      </c>
      <c r="B1" s="227"/>
      <c r="C1" s="228" t="s">
        <v>19</v>
      </c>
      <c r="D1" s="228"/>
      <c r="E1" s="228"/>
      <c r="F1" s="228"/>
      <c r="G1" s="231" t="str">
        <f>IF(C1=Prices!B4,TEXT(Prices!B5,"MMM-YYYY"),IF(C1=Prices!C4,TEXT(Prices!C5,"MMM-YYYY"),TEXT(Prices!#REF!,"MMM-YYYY")))</f>
        <v>(as of Sept 1st, 2016)</v>
      </c>
      <c r="H1" s="231"/>
      <c r="I1" s="231"/>
      <c r="J1" s="231"/>
      <c r="K1" s="69"/>
      <c r="L1" s="20"/>
      <c r="M1" s="20"/>
      <c r="N1" s="20"/>
    </row>
    <row r="2" spans="1:20" x14ac:dyDescent="0.25">
      <c r="A2" s="18"/>
      <c r="B2" s="19"/>
      <c r="C2" s="20"/>
      <c r="D2" s="21"/>
      <c r="E2" s="20"/>
      <c r="F2" s="20"/>
      <c r="G2" s="21"/>
      <c r="H2" s="20"/>
      <c r="I2" s="21"/>
      <c r="J2" s="20"/>
      <c r="K2" s="20"/>
      <c r="L2" s="70" t="s">
        <v>101</v>
      </c>
      <c r="M2" s="71"/>
      <c r="N2" s="71"/>
      <c r="O2" s="71"/>
      <c r="P2" s="71"/>
      <c r="Q2" s="71"/>
      <c r="R2" s="71"/>
      <c r="S2" s="71"/>
      <c r="T2" s="71"/>
    </row>
    <row r="3" spans="1:20" x14ac:dyDescent="0.25">
      <c r="A3" s="9" t="s">
        <v>2</v>
      </c>
      <c r="D3" s="40"/>
      <c r="G3" s="40"/>
      <c r="I3" s="40"/>
      <c r="K3" s="20"/>
      <c r="L3" s="20"/>
      <c r="M3" s="20"/>
      <c r="N3" s="20"/>
    </row>
    <row r="4" spans="1:20" x14ac:dyDescent="0.25">
      <c r="A4" t="s">
        <v>47</v>
      </c>
      <c r="B4" s="108">
        <v>0.01</v>
      </c>
      <c r="D4" s="40"/>
      <c r="F4" s="42"/>
      <c r="G4" s="40"/>
      <c r="I4" s="235" t="s">
        <v>102</v>
      </c>
      <c r="J4" s="235"/>
      <c r="K4" s="20"/>
      <c r="L4" s="20"/>
      <c r="M4" s="20"/>
      <c r="N4" s="20"/>
    </row>
    <row r="5" spans="1:20" x14ac:dyDescent="0.25">
      <c r="A5" t="s">
        <v>106</v>
      </c>
      <c r="B5" s="111">
        <v>150</v>
      </c>
      <c r="C5" s="230" t="s">
        <v>49</v>
      </c>
      <c r="D5" s="230"/>
      <c r="E5" s="230"/>
      <c r="F5" s="114">
        <v>1.25</v>
      </c>
      <c r="G5" s="40"/>
      <c r="I5" s="40"/>
      <c r="J5" s="73" t="e">
        <f>(E9-E10)/100</f>
        <v>#REF!</v>
      </c>
      <c r="K5" s="20"/>
      <c r="L5" s="20"/>
      <c r="M5" s="20"/>
      <c r="N5" s="20"/>
    </row>
    <row r="6" spans="1:20" x14ac:dyDescent="0.25">
      <c r="B6" s="3"/>
      <c r="C6" s="230"/>
      <c r="D6" s="230"/>
      <c r="E6" s="230"/>
      <c r="F6" s="48"/>
      <c r="G6" s="66"/>
      <c r="I6" s="66"/>
      <c r="K6" s="20"/>
      <c r="L6" s="20"/>
      <c r="M6" s="20"/>
      <c r="N6" s="20"/>
    </row>
    <row r="7" spans="1:20" x14ac:dyDescent="0.25">
      <c r="D7" s="40"/>
      <c r="G7" s="40"/>
      <c r="I7" s="40"/>
      <c r="K7" s="20"/>
      <c r="L7" s="20"/>
      <c r="M7" s="20"/>
      <c r="N7" s="20"/>
    </row>
    <row r="8" spans="1:20" x14ac:dyDescent="0.25">
      <c r="A8" s="14" t="s">
        <v>64</v>
      </c>
      <c r="B8" s="14" t="s">
        <v>3</v>
      </c>
      <c r="C8" s="14" t="s">
        <v>4</v>
      </c>
      <c r="D8" s="14"/>
      <c r="E8" s="14" t="s">
        <v>18</v>
      </c>
      <c r="F8" s="14" t="s">
        <v>4</v>
      </c>
      <c r="G8" s="14"/>
      <c r="H8" s="14"/>
      <c r="I8" s="14"/>
      <c r="J8" s="14" t="s">
        <v>20</v>
      </c>
      <c r="K8" s="20"/>
      <c r="L8" s="20"/>
      <c r="M8" s="20"/>
      <c r="N8" s="20"/>
    </row>
    <row r="9" spans="1:20" x14ac:dyDescent="0.25">
      <c r="A9" t="s">
        <v>44</v>
      </c>
      <c r="B9" s="118" t="e">
        <f>(IF(C1=Prices!A1,Prices!#REF!,IF(C1=Prices!A2,Prices!#REF!,IF(C1=Prices!A3,Prices!#REF!,""))))</f>
        <v>#REF!</v>
      </c>
      <c r="C9" s="6" t="s">
        <v>41</v>
      </c>
      <c r="D9" s="40" t="s">
        <v>45</v>
      </c>
      <c r="E9" s="119" t="e">
        <f>E10+(B5*F5)</f>
        <v>#REF!</v>
      </c>
      <c r="F9" s="6" t="s">
        <v>5</v>
      </c>
      <c r="G9" s="40"/>
      <c r="H9" s="5"/>
      <c r="I9" s="11" t="s">
        <v>7</v>
      </c>
      <c r="J9" s="4" t="e">
        <f>B9*(E9/100)</f>
        <v>#REF!</v>
      </c>
      <c r="K9" s="20"/>
      <c r="L9" s="20"/>
      <c r="M9" s="20"/>
      <c r="N9" s="20"/>
      <c r="R9" s="49"/>
    </row>
    <row r="10" spans="1:20" x14ac:dyDescent="0.25">
      <c r="A10" t="s">
        <v>43</v>
      </c>
      <c r="B10" s="118">
        <f>(IF(C1=Prices!A1,Prices!B16,IF(C1=Prices!A2,Prices!C16,IF(C1=Prices!A3,Prices!#REF!,""))))</f>
        <v>46.82</v>
      </c>
      <c r="C10" s="6" t="s">
        <v>41</v>
      </c>
      <c r="D10" s="40" t="s">
        <v>45</v>
      </c>
      <c r="E10" s="110" t="e">
        <f>'Once a Year Lambing'!#REF!</f>
        <v>#REF!</v>
      </c>
      <c r="F10" s="6" t="s">
        <v>5</v>
      </c>
      <c r="G10" s="40"/>
      <c r="H10" s="5"/>
      <c r="I10" s="11" t="s">
        <v>46</v>
      </c>
      <c r="J10" s="4" t="e">
        <f>-(B10*(E10/100))</f>
        <v>#REF!</v>
      </c>
      <c r="K10" s="20"/>
      <c r="L10" s="20"/>
      <c r="M10" s="20"/>
      <c r="N10" s="20"/>
      <c r="R10" s="4"/>
      <c r="S10" s="4"/>
    </row>
    <row r="11" spans="1:20" x14ac:dyDescent="0.25">
      <c r="A11" t="s">
        <v>47</v>
      </c>
      <c r="B11" s="1"/>
      <c r="C11" s="6"/>
      <c r="D11" s="40"/>
      <c r="E11" s="31"/>
      <c r="F11" s="6"/>
      <c r="G11" s="40"/>
      <c r="H11" s="5"/>
      <c r="I11" s="11"/>
      <c r="J11" s="4" t="e">
        <f>(B4*J10)</f>
        <v>#REF!</v>
      </c>
      <c r="K11" s="20"/>
      <c r="L11" s="20"/>
      <c r="M11" s="20"/>
      <c r="N11" s="20"/>
    </row>
    <row r="12" spans="1:20" x14ac:dyDescent="0.25">
      <c r="A12" t="s">
        <v>21</v>
      </c>
      <c r="B12" s="1"/>
      <c r="C12" s="6"/>
      <c r="D12" s="40"/>
      <c r="E12" s="3"/>
      <c r="F12" s="6"/>
      <c r="G12" s="40"/>
      <c r="H12" s="5"/>
      <c r="I12" s="11"/>
      <c r="J12" s="1"/>
      <c r="K12" s="20"/>
      <c r="L12" s="20"/>
      <c r="M12" s="20"/>
      <c r="N12" s="20"/>
    </row>
    <row r="13" spans="1:20" x14ac:dyDescent="0.25">
      <c r="A13" s="17" t="s">
        <v>65</v>
      </c>
      <c r="B13" s="12"/>
      <c r="C13" s="12"/>
      <c r="D13" s="13"/>
      <c r="E13" s="12"/>
      <c r="F13" s="12"/>
      <c r="G13" s="13"/>
      <c r="H13" s="12"/>
      <c r="I13" s="13"/>
      <c r="J13" s="15" t="e">
        <f>SUM(J9:J12)</f>
        <v>#REF!</v>
      </c>
      <c r="K13" s="20"/>
      <c r="L13" s="20"/>
      <c r="M13" s="20"/>
      <c r="N13" s="20"/>
    </row>
    <row r="14" spans="1:20" x14ac:dyDescent="0.25">
      <c r="A14" s="7"/>
      <c r="D14" s="40"/>
      <c r="G14" s="40"/>
      <c r="I14" s="40"/>
      <c r="K14" s="20"/>
      <c r="L14" s="20"/>
      <c r="M14" s="20"/>
      <c r="N14" s="20"/>
    </row>
    <row r="15" spans="1:20" x14ac:dyDescent="0.25">
      <c r="A15" s="14" t="s">
        <v>11</v>
      </c>
      <c r="B15" s="12"/>
      <c r="C15" s="12"/>
      <c r="D15" s="13"/>
      <c r="E15" s="12"/>
      <c r="F15" s="12"/>
      <c r="G15" s="13"/>
      <c r="H15" s="12"/>
      <c r="I15" s="13"/>
      <c r="J15" s="12"/>
      <c r="K15" s="20"/>
      <c r="L15" s="20"/>
      <c r="M15" s="20"/>
      <c r="N15" s="20"/>
    </row>
    <row r="16" spans="1:20" x14ac:dyDescent="0.25">
      <c r="A16" t="s">
        <v>22</v>
      </c>
      <c r="B16" s="118">
        <f>IF(C1=Prices!A1, Prices!B12, IF(C1=Prices!A2, Prices!C12, IF(C1=Prices!A3,Prices!#REF!, "")))</f>
        <v>19.22</v>
      </c>
      <c r="C16" s="6" t="s">
        <v>25</v>
      </c>
      <c r="D16" s="40" t="s">
        <v>45</v>
      </c>
      <c r="E16" s="45">
        <f>Feed!I5</f>
        <v>4</v>
      </c>
      <c r="F16" s="6" t="s">
        <v>67</v>
      </c>
      <c r="G16" s="40"/>
      <c r="H16" s="5"/>
      <c r="I16" s="11" t="s">
        <v>7</v>
      </c>
      <c r="J16" s="118">
        <f>B16*E16</f>
        <v>76.88</v>
      </c>
      <c r="K16" s="20"/>
      <c r="L16" s="20"/>
      <c r="M16" s="20"/>
      <c r="N16" s="20"/>
    </row>
    <row r="17" spans="1:14" x14ac:dyDescent="0.25">
      <c r="A17" t="s">
        <v>24</v>
      </c>
      <c r="B17" s="118" t="e">
        <f>IF(C1=Prices!A1, Prices!#REF!, IF(C1=Prices!A2, Prices!#REF!, IF(C1=Prices!A3,Prices!#REF!, "")))</f>
        <v>#REF!</v>
      </c>
      <c r="C17" s="6" t="s">
        <v>25</v>
      </c>
      <c r="D17" s="40" t="s">
        <v>45</v>
      </c>
      <c r="E17" s="45">
        <f>Feed!I6</f>
        <v>0</v>
      </c>
      <c r="F17" s="6" t="s">
        <v>67</v>
      </c>
      <c r="G17" s="40"/>
      <c r="H17" s="5"/>
      <c r="I17" s="11" t="s">
        <v>7</v>
      </c>
      <c r="J17" s="118" t="e">
        <f t="shared" ref="J17" si="0">B17*E17</f>
        <v>#REF!</v>
      </c>
      <c r="K17" s="20"/>
      <c r="L17" s="20"/>
      <c r="M17" s="20"/>
      <c r="N17" s="20"/>
    </row>
    <row r="18" spans="1:14" x14ac:dyDescent="0.25">
      <c r="A18" t="s">
        <v>23</v>
      </c>
      <c r="B18" s="118">
        <f>IF(Feed!I10&gt;0,(IF(C1=Prices!A1,(((Feed!I7/Feed!I10)*Prices!B10)+((Feed!I8/Feed!I10)*Prices!B9)+((Feed!I9/Feed!I10)*Prices!B11)),IF(C1=Prices!A2,(((Feed!I7/Feed!I10)*Prices!C10)+((Feed!I8/Feed!I10)*Prices!C9)+((Feed!I9/Feed!I10)*Prices!C11)),IF(C1=Prices!A3,((Feed!I7/Feed!I10)*Prices!#REF!)+((Feed!I8/Feed!I10)*Prices!#REF!)+((Feed!I9/Feed!I10)*Prices!#REF!),"")))),0)</f>
        <v>0</v>
      </c>
      <c r="C18" s="6" t="s">
        <v>26</v>
      </c>
      <c r="D18" s="40" t="s">
        <v>45</v>
      </c>
      <c r="E18" s="41">
        <f>Feed!I10</f>
        <v>0</v>
      </c>
      <c r="F18" s="6" t="s">
        <v>68</v>
      </c>
      <c r="G18" s="40"/>
      <c r="H18" s="5"/>
      <c r="I18" s="11" t="s">
        <v>7</v>
      </c>
      <c r="J18" s="118">
        <f>B18*E18</f>
        <v>0</v>
      </c>
      <c r="K18" s="20"/>
      <c r="L18" s="20"/>
      <c r="M18" s="20"/>
      <c r="N18" s="20"/>
    </row>
    <row r="19" spans="1:14" x14ac:dyDescent="0.25">
      <c r="A19" s="26" t="s">
        <v>28</v>
      </c>
      <c r="B19" s="118">
        <f>IF(Feed!I13&gt;0,(IF(C1=Prices!A1,(((Feed!I12/Feed!I13)*Prices!B7)+((Feed!#REF!/Feed!I13)*Prices!#REF!)+((Feed!I11/Feed!I13)*(Prices!B6*2000)/56)),IF(C1=Prices!A2,(((Feed!I12/Feed!I13)*Prices!C7)+((Feed!#REF!/Feed!I13)*Prices!#REF!)+((Feed!I11/Feed!I13)*(Prices!C6*2000)/56)),IF(C1=Prices!A3,(((Feed!I12/Feed!I13)*Prices!#REF!)+((Feed!#REF!/Feed!I13)*Prices!#REF!)+((Feed!I11/Feed!I13)*(Prices!#REF!*2000)/56)),"")))),0)</f>
        <v>0</v>
      </c>
      <c r="C19" s="6" t="s">
        <v>26</v>
      </c>
      <c r="D19" s="40" t="s">
        <v>45</v>
      </c>
      <c r="E19" s="41">
        <f>Feed!I13</f>
        <v>0</v>
      </c>
      <c r="F19" s="6" t="s">
        <v>69</v>
      </c>
      <c r="G19" s="40"/>
      <c r="H19" s="5"/>
      <c r="I19" s="11" t="s">
        <v>7</v>
      </c>
      <c r="J19" s="118">
        <f>(B19/2000)*E19</f>
        <v>0</v>
      </c>
      <c r="K19" s="20"/>
      <c r="L19" s="20"/>
      <c r="M19" s="20"/>
      <c r="N19" s="20"/>
    </row>
    <row r="20" spans="1:14" x14ac:dyDescent="0.25">
      <c r="A20" t="s">
        <v>27</v>
      </c>
      <c r="B20" s="118" t="e">
        <f>IF(C1=Prices!A1,Prices!#REF!, IF(C1=Prices!A2,Prices!#REF!, IF(C1=Prices!A3,Prices!#REF!, "")))</f>
        <v>#REF!</v>
      </c>
      <c r="C20" s="6" t="s">
        <v>26</v>
      </c>
      <c r="D20" s="40" t="s">
        <v>45</v>
      </c>
      <c r="E20" s="45">
        <f>Feed!I14</f>
        <v>37.5</v>
      </c>
      <c r="F20" s="6" t="s">
        <v>69</v>
      </c>
      <c r="G20" s="40"/>
      <c r="H20" s="5"/>
      <c r="I20" s="11" t="s">
        <v>7</v>
      </c>
      <c r="J20" s="118" t="e">
        <f>(B20/2000)*E20</f>
        <v>#REF!</v>
      </c>
      <c r="K20" s="20"/>
      <c r="L20" s="20"/>
      <c r="M20" s="20"/>
      <c r="N20" s="20"/>
    </row>
    <row r="21" spans="1:14" x14ac:dyDescent="0.25">
      <c r="A21" t="s">
        <v>113</v>
      </c>
      <c r="B21" s="109">
        <v>0</v>
      </c>
      <c r="C21" s="6" t="s">
        <v>114</v>
      </c>
      <c r="D21" s="117" t="s">
        <v>45</v>
      </c>
      <c r="E21" s="111">
        <v>0</v>
      </c>
      <c r="F21" s="6" t="s">
        <v>115</v>
      </c>
      <c r="G21" s="117"/>
      <c r="H21" s="5"/>
      <c r="I21" s="11" t="s">
        <v>46</v>
      </c>
      <c r="J21" s="109">
        <f>B21*E21</f>
        <v>0</v>
      </c>
      <c r="K21" s="20"/>
      <c r="L21" s="20"/>
      <c r="M21" s="20"/>
      <c r="N21" s="20"/>
    </row>
    <row r="22" spans="1:14" x14ac:dyDescent="0.25">
      <c r="A22" t="s">
        <v>29</v>
      </c>
      <c r="B22" s="109">
        <v>20</v>
      </c>
      <c r="C22" s="6" t="s">
        <v>57</v>
      </c>
      <c r="D22" s="40" t="s">
        <v>45</v>
      </c>
      <c r="E22" s="111">
        <f>0.2*(B5/30)</f>
        <v>1</v>
      </c>
      <c r="F22" s="6" t="s">
        <v>58</v>
      </c>
      <c r="G22" s="40"/>
      <c r="H22" s="5"/>
      <c r="I22" s="11" t="s">
        <v>7</v>
      </c>
      <c r="J22" s="109">
        <f>B22*E22</f>
        <v>20</v>
      </c>
      <c r="K22" s="20"/>
      <c r="L22" s="20"/>
      <c r="M22" s="20"/>
      <c r="N22" s="20"/>
    </row>
    <row r="23" spans="1:14" x14ac:dyDescent="0.25">
      <c r="A23" t="s">
        <v>30</v>
      </c>
      <c r="B23" s="1"/>
      <c r="C23" s="6"/>
      <c r="D23" s="40"/>
      <c r="E23" s="3"/>
      <c r="F23" s="6"/>
      <c r="G23" s="40"/>
      <c r="H23" s="5"/>
      <c r="I23" s="11"/>
      <c r="J23" s="120" t="e">
        <f>ROUND(3.99*J5,0)</f>
        <v>#REF!</v>
      </c>
      <c r="K23" s="20"/>
      <c r="M23" s="20"/>
      <c r="N23" s="20"/>
    </row>
    <row r="24" spans="1:14" x14ac:dyDescent="0.25">
      <c r="A24" t="s">
        <v>48</v>
      </c>
      <c r="B24" s="1"/>
      <c r="C24" s="6"/>
      <c r="D24" s="40"/>
      <c r="E24" s="3"/>
      <c r="F24" s="6"/>
      <c r="G24" s="40"/>
      <c r="H24" s="5"/>
      <c r="I24" s="11"/>
      <c r="J24" s="120" t="e">
        <f>ROUND(5.61*J5,0)</f>
        <v>#REF!</v>
      </c>
      <c r="K24" s="20"/>
      <c r="M24" s="20"/>
      <c r="N24" s="20"/>
    </row>
    <row r="25" spans="1:14" x14ac:dyDescent="0.25">
      <c r="A25" t="s">
        <v>31</v>
      </c>
      <c r="B25" s="1"/>
      <c r="C25" s="6"/>
      <c r="D25" s="40"/>
      <c r="E25" s="3"/>
      <c r="F25" s="6"/>
      <c r="G25" s="40"/>
      <c r="H25" s="5"/>
      <c r="I25" s="11"/>
      <c r="J25" s="120" t="e">
        <f>ROUND(3.25*J5,0)</f>
        <v>#REF!</v>
      </c>
      <c r="K25" s="20"/>
      <c r="M25" s="20"/>
      <c r="N25" s="20"/>
    </row>
    <row r="26" spans="1:14" x14ac:dyDescent="0.25">
      <c r="A26" t="s">
        <v>59</v>
      </c>
      <c r="B26" s="1"/>
      <c r="C26" s="6"/>
      <c r="D26" s="40"/>
      <c r="E26" s="3"/>
      <c r="F26" s="6"/>
      <c r="G26" s="40"/>
      <c r="H26" s="5"/>
      <c r="I26" s="11"/>
      <c r="J26" s="120" t="e">
        <f>ROUND(5.46*J5,0)</f>
        <v>#REF!</v>
      </c>
      <c r="K26" s="20"/>
      <c r="M26" s="20"/>
      <c r="N26" s="20"/>
    </row>
    <row r="27" spans="1:14" x14ac:dyDescent="0.25">
      <c r="A27" t="s">
        <v>111</v>
      </c>
      <c r="B27" s="1"/>
      <c r="C27" s="6"/>
      <c r="D27" s="116"/>
      <c r="E27" s="3"/>
      <c r="F27" s="6"/>
      <c r="G27" s="116"/>
      <c r="H27" s="5"/>
      <c r="I27" s="11"/>
      <c r="J27" s="120" t="e">
        <f>ROUND(3.55*J5,0)</f>
        <v>#REF!</v>
      </c>
      <c r="K27" s="20"/>
      <c r="M27" s="20"/>
      <c r="N27" s="20"/>
    </row>
    <row r="28" spans="1:14" x14ac:dyDescent="0.25">
      <c r="A28" s="12" t="s">
        <v>32</v>
      </c>
      <c r="B28" s="12"/>
      <c r="C28" s="36"/>
      <c r="D28" s="13"/>
      <c r="E28" s="37"/>
      <c r="F28" s="36"/>
      <c r="G28" s="13"/>
      <c r="H28" s="38"/>
      <c r="I28" s="39"/>
      <c r="J28" s="121" t="e">
        <f>ROUND(1.29*J5,0)</f>
        <v>#REF!</v>
      </c>
      <c r="K28" s="20"/>
      <c r="M28" s="20"/>
      <c r="N28" s="20"/>
    </row>
    <row r="29" spans="1:14" x14ac:dyDescent="0.25">
      <c r="A29" s="7" t="s">
        <v>15</v>
      </c>
      <c r="D29" s="40"/>
      <c r="G29" s="40"/>
      <c r="I29" s="40"/>
      <c r="J29" s="8" t="e">
        <f>SUM(J16:J28)</f>
        <v>#REF!</v>
      </c>
      <c r="K29" s="20"/>
      <c r="L29" s="20"/>
      <c r="M29" s="20"/>
      <c r="N29" s="20"/>
    </row>
    <row r="30" spans="1:14" x14ac:dyDescent="0.25">
      <c r="D30" s="40"/>
      <c r="G30" s="40"/>
      <c r="I30" s="40"/>
      <c r="K30" s="20"/>
      <c r="L30" s="20"/>
      <c r="M30" s="20"/>
      <c r="N30" s="20"/>
    </row>
    <row r="31" spans="1:14" x14ac:dyDescent="0.25">
      <c r="A31" s="14" t="s">
        <v>12</v>
      </c>
      <c r="B31" s="12"/>
      <c r="C31" s="12"/>
      <c r="D31" s="13"/>
      <c r="E31" s="12"/>
      <c r="F31" s="12"/>
      <c r="G31" s="13"/>
      <c r="H31" s="12"/>
      <c r="I31" s="13"/>
      <c r="J31" s="12"/>
      <c r="K31" s="20"/>
      <c r="L31" s="20"/>
      <c r="M31" s="20"/>
      <c r="N31" s="20"/>
    </row>
    <row r="32" spans="1:14" x14ac:dyDescent="0.25">
      <c r="A32" t="s">
        <v>33</v>
      </c>
      <c r="D32" s="40"/>
      <c r="G32" s="40"/>
      <c r="I32" s="40"/>
      <c r="J32" s="109">
        <v>10</v>
      </c>
      <c r="K32" s="20"/>
      <c r="L32" s="20"/>
      <c r="M32" s="20"/>
      <c r="N32" s="20"/>
    </row>
    <row r="33" spans="1:14" x14ac:dyDescent="0.25">
      <c r="A33" t="s">
        <v>63</v>
      </c>
      <c r="D33" s="40"/>
      <c r="G33" s="40"/>
      <c r="I33" s="40"/>
      <c r="J33" s="109">
        <v>1.25</v>
      </c>
      <c r="K33" s="20"/>
      <c r="L33" s="20"/>
      <c r="M33" s="20"/>
      <c r="N33" s="20"/>
    </row>
    <row r="34" spans="1:14" x14ac:dyDescent="0.25">
      <c r="A34" t="s">
        <v>61</v>
      </c>
      <c r="D34" s="40"/>
      <c r="G34" s="40"/>
      <c r="I34" s="40"/>
      <c r="J34" s="109">
        <v>1.5</v>
      </c>
      <c r="K34" s="20"/>
      <c r="L34" s="20"/>
      <c r="M34" s="20"/>
      <c r="N34" s="20"/>
    </row>
    <row r="35" spans="1:14" x14ac:dyDescent="0.25">
      <c r="A35" s="29" t="s">
        <v>60</v>
      </c>
      <c r="B35" s="29"/>
      <c r="C35" s="29"/>
      <c r="D35" s="30"/>
      <c r="E35" s="29"/>
      <c r="F35" s="29"/>
      <c r="G35" s="30"/>
      <c r="H35" s="29"/>
      <c r="I35" s="30"/>
      <c r="J35" s="113">
        <v>23</v>
      </c>
      <c r="K35" s="20"/>
      <c r="L35" s="20"/>
      <c r="M35" s="20"/>
      <c r="N35" s="20"/>
    </row>
    <row r="36" spans="1:14" x14ac:dyDescent="0.25">
      <c r="A36" s="51" t="s">
        <v>75</v>
      </c>
      <c r="B36" s="12"/>
      <c r="C36" s="12"/>
      <c r="D36" s="13"/>
      <c r="E36" s="12"/>
      <c r="F36" s="12"/>
      <c r="G36" s="13"/>
      <c r="H36" s="12"/>
      <c r="I36" s="13"/>
      <c r="J36" s="112">
        <v>0</v>
      </c>
      <c r="K36" s="20"/>
      <c r="L36" s="20"/>
      <c r="M36" s="20"/>
      <c r="N36" s="20"/>
    </row>
    <row r="37" spans="1:14" x14ac:dyDescent="0.25">
      <c r="A37" s="7" t="s">
        <v>13</v>
      </c>
      <c r="D37" s="40"/>
      <c r="G37" s="40"/>
      <c r="I37" s="40"/>
      <c r="J37" s="8">
        <f>SUM(J32:J36)</f>
        <v>35.75</v>
      </c>
      <c r="K37" s="20"/>
      <c r="L37" s="20"/>
      <c r="M37" s="20"/>
      <c r="N37" s="20"/>
    </row>
    <row r="38" spans="1:14" x14ac:dyDescent="0.25">
      <c r="D38" s="40"/>
      <c r="G38" s="40"/>
      <c r="I38" s="40"/>
      <c r="K38" s="20"/>
      <c r="L38" s="20"/>
      <c r="M38" s="20"/>
      <c r="N38" s="20"/>
    </row>
    <row r="39" spans="1:14" ht="15" customHeight="1" x14ac:dyDescent="0.25">
      <c r="A39" s="14" t="s">
        <v>14</v>
      </c>
      <c r="B39" s="12"/>
      <c r="C39" s="12"/>
      <c r="D39" s="13"/>
      <c r="E39" s="12"/>
      <c r="F39" s="12"/>
      <c r="G39" s="13"/>
      <c r="H39" s="12"/>
      <c r="I39" s="13"/>
      <c r="J39" s="15" t="e">
        <f>J29+J37</f>
        <v>#REF!</v>
      </c>
      <c r="K39" s="87"/>
      <c r="L39" s="20"/>
      <c r="M39" s="20"/>
      <c r="N39" s="20"/>
    </row>
    <row r="40" spans="1:14" x14ac:dyDescent="0.25">
      <c r="A40" s="28"/>
      <c r="B40" s="29"/>
      <c r="C40" s="29"/>
      <c r="D40" s="30"/>
      <c r="E40" s="29"/>
      <c r="F40" s="29"/>
      <c r="G40" s="30"/>
      <c r="H40" s="29"/>
      <c r="I40" s="30"/>
      <c r="J40" s="16"/>
    </row>
    <row r="41" spans="1:14" x14ac:dyDescent="0.25">
      <c r="A41" t="s">
        <v>34</v>
      </c>
      <c r="D41" s="40"/>
      <c r="G41" s="40"/>
      <c r="I41" s="40"/>
      <c r="J41" s="4" t="e">
        <f>J13-J29</f>
        <v>#REF!</v>
      </c>
    </row>
    <row r="42" spans="1:14" ht="15.75" thickBot="1" x14ac:dyDescent="0.3">
      <c r="A42" s="2" t="s">
        <v>16</v>
      </c>
      <c r="D42" s="40"/>
      <c r="G42" s="40"/>
      <c r="I42" s="40"/>
      <c r="J42" s="22" t="e">
        <f>J13-J39</f>
        <v>#REF!</v>
      </c>
    </row>
    <row r="43" spans="1:14" ht="31.5" customHeight="1" thickTop="1" x14ac:dyDescent="0.25">
      <c r="A43" s="28"/>
      <c r="B43" s="29"/>
      <c r="C43" s="29"/>
      <c r="D43" s="64"/>
      <c r="E43" s="29"/>
      <c r="F43" s="29"/>
      <c r="G43" s="64"/>
      <c r="H43" s="29"/>
      <c r="I43" s="64"/>
      <c r="J43" s="16"/>
    </row>
    <row r="44" spans="1:14" ht="15" customHeight="1" x14ac:dyDescent="0.25">
      <c r="A44" s="224" t="s">
        <v>42</v>
      </c>
      <c r="B44" s="232"/>
      <c r="C44" s="232"/>
      <c r="D44" s="232"/>
      <c r="E44" s="232"/>
      <c r="F44" s="232"/>
      <c r="G44" s="232"/>
      <c r="H44" s="232"/>
      <c r="I44" s="232"/>
      <c r="J44" s="232"/>
    </row>
    <row r="45" spans="1:14" ht="15.75" x14ac:dyDescent="0.25">
      <c r="A45" s="32" t="s">
        <v>96</v>
      </c>
      <c r="B45" s="32"/>
      <c r="C45" s="32"/>
      <c r="D45" s="32"/>
      <c r="E45" s="32"/>
      <c r="F45" s="32"/>
      <c r="G45" s="32"/>
      <c r="H45" s="32"/>
      <c r="I45" s="32"/>
      <c r="J45" s="32" t="e">
        <f>TEXT(#REF!,"MMM. DD, YYYY")</f>
        <v>#REF!</v>
      </c>
    </row>
    <row r="46" spans="1:14" x14ac:dyDescent="0.25">
      <c r="B46" s="35"/>
    </row>
    <row r="47" spans="1:14" ht="19.5" thickBot="1" x14ac:dyDescent="0.35">
      <c r="A47" s="219" t="s">
        <v>62</v>
      </c>
      <c r="B47" s="220"/>
      <c r="C47" s="221"/>
      <c r="D47" s="221"/>
      <c r="E47" s="221"/>
      <c r="F47" s="221"/>
      <c r="G47" s="222"/>
      <c r="H47" s="222"/>
      <c r="I47" s="222"/>
      <c r="J47" s="222"/>
    </row>
    <row r="90" spans="1:10" ht="37.5" customHeight="1" x14ac:dyDescent="0.25"/>
    <row r="91" spans="1:10" x14ac:dyDescent="0.25">
      <c r="A91" s="224" t="s">
        <v>42</v>
      </c>
      <c r="B91" s="232"/>
      <c r="C91" s="232"/>
      <c r="D91" s="232"/>
      <c r="E91" s="232"/>
      <c r="F91" s="232"/>
      <c r="G91" s="232"/>
      <c r="H91" s="232"/>
      <c r="I91" s="232"/>
      <c r="J91" s="232"/>
    </row>
    <row r="92" spans="1:10" ht="15.75" x14ac:dyDescent="0.25">
      <c r="A92" s="32" t="s">
        <v>96</v>
      </c>
      <c r="B92" s="32"/>
      <c r="C92" s="32"/>
      <c r="D92" s="32"/>
      <c r="E92" s="32"/>
      <c r="F92" s="32"/>
      <c r="G92" s="32"/>
      <c r="H92" s="32"/>
      <c r="I92" s="32"/>
      <c r="J92" s="32" t="e">
        <f>J45</f>
        <v>#REF!</v>
      </c>
    </row>
    <row r="93" spans="1:10" ht="0.75" customHeight="1" x14ac:dyDescent="0.25">
      <c r="A93" s="61"/>
      <c r="B93" s="61"/>
      <c r="C93" s="61"/>
      <c r="D93" s="61"/>
      <c r="E93" s="61"/>
      <c r="F93" s="61"/>
      <c r="G93" s="61"/>
      <c r="H93" s="61"/>
      <c r="I93" s="61"/>
      <c r="J93" s="61"/>
    </row>
    <row r="94" spans="1:10" ht="19.5" thickBot="1" x14ac:dyDescent="0.35">
      <c r="A94" s="219" t="s">
        <v>62</v>
      </c>
      <c r="B94" s="220"/>
      <c r="C94" s="221"/>
      <c r="D94" s="221"/>
      <c r="E94" s="221"/>
      <c r="F94" s="221"/>
      <c r="G94" s="222"/>
      <c r="H94" s="222"/>
      <c r="I94" s="222"/>
      <c r="J94" s="222"/>
    </row>
    <row r="95" spans="1:10" ht="15.75" x14ac:dyDescent="0.25">
      <c r="A95" s="62" t="s">
        <v>85</v>
      </c>
    </row>
    <row r="97" spans="1:5" ht="15.75" thickBot="1" x14ac:dyDescent="0.3">
      <c r="A97" s="47" t="s">
        <v>56</v>
      </c>
      <c r="B97" s="46" t="s">
        <v>80</v>
      </c>
      <c r="C97" s="46"/>
      <c r="D97" s="46"/>
      <c r="E97" s="46"/>
    </row>
    <row r="98" spans="1:5" x14ac:dyDescent="0.25">
      <c r="A98" s="2"/>
      <c r="B98" s="14" t="s">
        <v>18</v>
      </c>
      <c r="C98" s="14" t="s">
        <v>4</v>
      </c>
    </row>
    <row r="99" spans="1:5" x14ac:dyDescent="0.25">
      <c r="A99" t="s">
        <v>22</v>
      </c>
      <c r="B99" s="45">
        <f>Feed!I5</f>
        <v>4</v>
      </c>
      <c r="C99" s="6" t="s">
        <v>79</v>
      </c>
    </row>
    <row r="100" spans="1:5" x14ac:dyDescent="0.25">
      <c r="A100" t="s">
        <v>24</v>
      </c>
      <c r="B100" s="45">
        <f>Feed!I6</f>
        <v>0</v>
      </c>
      <c r="C100" s="6" t="s">
        <v>79</v>
      </c>
    </row>
    <row r="101" spans="1:5" x14ac:dyDescent="0.25">
      <c r="A101" s="43" t="s">
        <v>108</v>
      </c>
      <c r="B101" s="56">
        <f>Feed!I7</f>
        <v>0</v>
      </c>
      <c r="C101" s="6" t="s">
        <v>105</v>
      </c>
    </row>
    <row r="102" spans="1:5" x14ac:dyDescent="0.25">
      <c r="A102" s="43" t="s">
        <v>78</v>
      </c>
      <c r="B102" s="56">
        <f>Feed!I8</f>
        <v>0</v>
      </c>
      <c r="C102" s="6" t="s">
        <v>105</v>
      </c>
    </row>
    <row r="103" spans="1:5" x14ac:dyDescent="0.25">
      <c r="A103" s="43" t="s">
        <v>51</v>
      </c>
      <c r="B103" s="56">
        <f>Feed!I9</f>
        <v>0</v>
      </c>
      <c r="C103" s="6" t="s">
        <v>105</v>
      </c>
    </row>
    <row r="104" spans="1:5" x14ac:dyDescent="0.25">
      <c r="A104" t="s">
        <v>77</v>
      </c>
      <c r="B104" s="56">
        <f>Feed!I10</f>
        <v>0</v>
      </c>
      <c r="C104" s="6" t="s">
        <v>105</v>
      </c>
    </row>
    <row r="105" spans="1:5" x14ac:dyDescent="0.25">
      <c r="A105" s="43" t="s">
        <v>53</v>
      </c>
      <c r="B105" s="56">
        <f>Feed!I11</f>
        <v>0</v>
      </c>
      <c r="C105" s="6" t="s">
        <v>104</v>
      </c>
    </row>
    <row r="106" spans="1:5" x14ac:dyDescent="0.25">
      <c r="A106" s="43" t="s">
        <v>54</v>
      </c>
      <c r="B106" s="56" t="e">
        <f>Feed!#REF!</f>
        <v>#REF!</v>
      </c>
      <c r="C106" s="6" t="s">
        <v>104</v>
      </c>
    </row>
    <row r="107" spans="1:5" x14ac:dyDescent="0.25">
      <c r="A107" s="43" t="s">
        <v>55</v>
      </c>
      <c r="B107" s="56">
        <f>Feed!I12</f>
        <v>0</v>
      </c>
      <c r="C107" s="6" t="s">
        <v>104</v>
      </c>
    </row>
    <row r="108" spans="1:5" x14ac:dyDescent="0.25">
      <c r="A108" t="s">
        <v>76</v>
      </c>
      <c r="B108" s="56">
        <f>Feed!I13</f>
        <v>0</v>
      </c>
      <c r="C108" s="6" t="s">
        <v>104</v>
      </c>
    </row>
    <row r="109" spans="1:5" x14ac:dyDescent="0.25">
      <c r="A109" t="s">
        <v>40</v>
      </c>
      <c r="B109" s="56">
        <f>Feed!I14</f>
        <v>37.5</v>
      </c>
      <c r="C109" s="6" t="s">
        <v>104</v>
      </c>
    </row>
    <row r="114" spans="1:6" ht="15.75" thickBot="1" x14ac:dyDescent="0.3">
      <c r="A114" s="47" t="s">
        <v>109</v>
      </c>
      <c r="B114" s="46"/>
      <c r="C114" s="46"/>
      <c r="D114" s="46"/>
      <c r="E114" s="46"/>
      <c r="F114" s="46"/>
    </row>
    <row r="115" spans="1:6" ht="15" customHeight="1" x14ac:dyDescent="0.25">
      <c r="A115" s="57"/>
      <c r="B115" s="65" t="s">
        <v>86</v>
      </c>
      <c r="C115" s="223" t="s">
        <v>87</v>
      </c>
      <c r="D115" s="223"/>
      <c r="E115" s="233" t="s">
        <v>88</v>
      </c>
      <c r="F115" s="233"/>
    </row>
    <row r="116" spans="1:6" x14ac:dyDescent="0.25">
      <c r="A116" t="s">
        <v>90</v>
      </c>
      <c r="B116" s="58" t="e">
        <f>Prices!#REF!</f>
        <v>#REF!</v>
      </c>
      <c r="C116" s="218" t="e">
        <f>Prices!#REF!</f>
        <v>#REF!</v>
      </c>
      <c r="D116" s="234"/>
      <c r="E116" s="218" t="e">
        <f>Prices!#REF!</f>
        <v>#REF!</v>
      </c>
      <c r="F116" s="234"/>
    </row>
    <row r="117" spans="1:6" x14ac:dyDescent="0.25">
      <c r="A117" t="s">
        <v>92</v>
      </c>
      <c r="B117" s="58">
        <f>Prices!B16</f>
        <v>46.82</v>
      </c>
      <c r="C117" s="218">
        <f>Prices!C16</f>
        <v>46.18</v>
      </c>
      <c r="D117" s="234"/>
      <c r="E117" s="218" t="e">
        <f>Prices!#REF!</f>
        <v>#REF!</v>
      </c>
      <c r="F117" s="234"/>
    </row>
    <row r="118" spans="1:6" x14ac:dyDescent="0.25">
      <c r="A118" t="s">
        <v>91</v>
      </c>
      <c r="B118" s="58" t="e">
        <f>Prices!#REF!</f>
        <v>#REF!</v>
      </c>
      <c r="C118" s="218" t="e">
        <f>Prices!#REF!</f>
        <v>#REF!</v>
      </c>
      <c r="D118" s="234"/>
      <c r="E118" s="218" t="e">
        <f>Prices!#REF!</f>
        <v>#REF!</v>
      </c>
      <c r="F118" s="234"/>
    </row>
    <row r="119" spans="1:6" x14ac:dyDescent="0.25">
      <c r="A119" t="s">
        <v>9</v>
      </c>
      <c r="B119" s="58">
        <f>Prices!B6</f>
        <v>311.2</v>
      </c>
      <c r="C119" s="218">
        <f>Prices!C6</f>
        <v>303.2</v>
      </c>
      <c r="D119" s="234"/>
      <c r="E119" s="218" t="e">
        <f>Prices!#REF!</f>
        <v>#REF!</v>
      </c>
      <c r="F119" s="234"/>
    </row>
    <row r="120" spans="1:6" x14ac:dyDescent="0.25">
      <c r="A120" t="s">
        <v>10</v>
      </c>
      <c r="B120" s="58">
        <f>Prices!B7</f>
        <v>4.8899999999999997</v>
      </c>
      <c r="C120" s="218">
        <f>Prices!C7</f>
        <v>5.6088717948717939</v>
      </c>
      <c r="D120" s="234"/>
      <c r="E120" s="218" t="e">
        <f>Prices!#REF!</f>
        <v>#REF!</v>
      </c>
      <c r="F120" s="234"/>
    </row>
    <row r="121" spans="1:6" x14ac:dyDescent="0.25">
      <c r="A121" t="s">
        <v>89</v>
      </c>
      <c r="B121" s="58" t="e">
        <f>Prices!#REF!</f>
        <v>#REF!</v>
      </c>
      <c r="C121" s="218" t="e">
        <f>Prices!#REF!</f>
        <v>#REF!</v>
      </c>
      <c r="D121" s="234"/>
      <c r="E121" s="218" t="e">
        <f>Prices!#REF!</f>
        <v>#REF!</v>
      </c>
      <c r="F121" s="234"/>
    </row>
    <row r="122" spans="1:6" x14ac:dyDescent="0.25">
      <c r="A122" t="s">
        <v>83</v>
      </c>
      <c r="B122" s="58">
        <f>Prices!B9</f>
        <v>23.4</v>
      </c>
      <c r="C122" s="218">
        <f>Prices!C9</f>
        <v>26.839999999999996</v>
      </c>
      <c r="D122" s="234"/>
      <c r="E122" s="218" t="e">
        <f>Prices!#REF!</f>
        <v>#REF!</v>
      </c>
      <c r="F122" s="234"/>
    </row>
    <row r="123" spans="1:6" x14ac:dyDescent="0.25">
      <c r="A123" t="s">
        <v>70</v>
      </c>
      <c r="B123" s="58">
        <f>Prices!B10</f>
        <v>60</v>
      </c>
      <c r="C123" s="218">
        <f>Prices!C10</f>
        <v>68.820512820512818</v>
      </c>
      <c r="D123" s="234"/>
      <c r="E123" s="218" t="e">
        <f>Prices!#REF!</f>
        <v>#REF!</v>
      </c>
      <c r="F123" s="234"/>
    </row>
    <row r="124" spans="1:6" x14ac:dyDescent="0.25">
      <c r="A124" t="s">
        <v>71</v>
      </c>
      <c r="B124" s="58">
        <f>Prices!B11</f>
        <v>105</v>
      </c>
      <c r="C124" s="218">
        <f>Prices!C11</f>
        <v>120.43589743589743</v>
      </c>
      <c r="D124" s="234"/>
      <c r="E124" s="218" t="e">
        <f>Prices!#REF!</f>
        <v>#REF!</v>
      </c>
      <c r="F124" s="234"/>
    </row>
    <row r="125" spans="1:6" x14ac:dyDescent="0.25">
      <c r="A125" t="s">
        <v>72</v>
      </c>
      <c r="B125" s="58">
        <f>Prices!B12</f>
        <v>19.22</v>
      </c>
      <c r="C125" s="218">
        <f>Prices!C12</f>
        <v>19.604399999999998</v>
      </c>
      <c r="D125" s="234"/>
      <c r="E125" s="218" t="e">
        <f>Prices!#REF!</f>
        <v>#REF!</v>
      </c>
      <c r="F125" s="234"/>
    </row>
    <row r="126" spans="1:6" x14ac:dyDescent="0.25">
      <c r="A126" t="s">
        <v>73</v>
      </c>
      <c r="B126" s="58" t="e">
        <f>Prices!#REF!</f>
        <v>#REF!</v>
      </c>
      <c r="C126" s="218" t="e">
        <f>Prices!#REF!</f>
        <v>#REF!</v>
      </c>
      <c r="D126" s="234"/>
      <c r="E126" s="218" t="e">
        <f>Prices!#REF!</f>
        <v>#REF!</v>
      </c>
      <c r="F126" s="234"/>
    </row>
    <row r="127" spans="1:6" x14ac:dyDescent="0.25">
      <c r="A127" t="s">
        <v>74</v>
      </c>
      <c r="B127" s="58" t="e">
        <f>Prices!#REF!</f>
        <v>#REF!</v>
      </c>
      <c r="C127" s="218" t="e">
        <f>Prices!#REF!</f>
        <v>#REF!</v>
      </c>
      <c r="D127" s="234"/>
      <c r="E127" s="218" t="e">
        <f>Prices!#REF!</f>
        <v>#REF!</v>
      </c>
      <c r="F127" s="234"/>
    </row>
    <row r="128" spans="1:6" x14ac:dyDescent="0.25">
      <c r="B128" s="58"/>
      <c r="C128" s="63"/>
      <c r="D128" s="64"/>
      <c r="E128" s="63"/>
      <c r="F128" s="64"/>
    </row>
    <row r="129" spans="1:10" ht="58.5" customHeight="1" x14ac:dyDescent="0.25">
      <c r="B129" s="58"/>
      <c r="C129" s="63"/>
      <c r="D129" s="64"/>
      <c r="E129" s="63"/>
      <c r="F129" s="64"/>
    </row>
    <row r="130" spans="1:10" x14ac:dyDescent="0.25">
      <c r="B130" s="58"/>
      <c r="C130" s="63"/>
      <c r="D130" s="64"/>
      <c r="E130" s="63"/>
      <c r="F130" s="64"/>
    </row>
    <row r="131" spans="1:10" x14ac:dyDescent="0.25">
      <c r="B131" s="58"/>
      <c r="C131" s="63"/>
      <c r="D131" s="64"/>
      <c r="E131" s="63"/>
      <c r="F131" s="64"/>
    </row>
    <row r="132" spans="1:10" x14ac:dyDescent="0.25">
      <c r="B132" s="58"/>
      <c r="C132" s="63"/>
      <c r="D132" s="64"/>
      <c r="E132" s="63"/>
      <c r="F132" s="64"/>
    </row>
    <row r="133" spans="1:10" x14ac:dyDescent="0.25">
      <c r="B133" s="58"/>
      <c r="C133" s="63"/>
      <c r="D133" s="64"/>
      <c r="E133" s="63"/>
      <c r="F133" s="64"/>
    </row>
    <row r="134" spans="1:10" x14ac:dyDescent="0.25">
      <c r="B134" s="58"/>
      <c r="C134" s="63"/>
      <c r="D134" s="64"/>
      <c r="E134" s="63"/>
      <c r="F134" s="64"/>
    </row>
    <row r="135" spans="1:10" x14ac:dyDescent="0.25">
      <c r="A135" s="224" t="s">
        <v>42</v>
      </c>
      <c r="B135" s="232"/>
      <c r="C135" s="232"/>
      <c r="D135" s="232"/>
      <c r="E135" s="232"/>
      <c r="F135" s="232"/>
      <c r="G135" s="232"/>
      <c r="H135" s="232"/>
      <c r="I135" s="232"/>
      <c r="J135" s="232"/>
    </row>
    <row r="136" spans="1:10" ht="15.75" x14ac:dyDescent="0.25">
      <c r="A136" s="32" t="s">
        <v>96</v>
      </c>
      <c r="B136" s="32"/>
      <c r="C136" s="32"/>
      <c r="D136" s="32"/>
      <c r="E136" s="32"/>
      <c r="F136" s="32"/>
      <c r="G136" s="32"/>
      <c r="H136" s="32"/>
      <c r="I136" s="32"/>
      <c r="J136" s="32" t="e">
        <f>J92</f>
        <v>#REF!</v>
      </c>
    </row>
  </sheetData>
  <sheetProtection sheet="1" objects="1" scenarios="1"/>
  <mergeCells count="41">
    <mergeCell ref="C127:D127"/>
    <mergeCell ref="E127:F127"/>
    <mergeCell ref="A135:J135"/>
    <mergeCell ref="C6:E6"/>
    <mergeCell ref="I4:J4"/>
    <mergeCell ref="C124:D124"/>
    <mergeCell ref="E124:F124"/>
    <mergeCell ref="C125:D125"/>
    <mergeCell ref="E125:F125"/>
    <mergeCell ref="C126:D126"/>
    <mergeCell ref="E126:F126"/>
    <mergeCell ref="C121:D121"/>
    <mergeCell ref="E121:F121"/>
    <mergeCell ref="C122:D122"/>
    <mergeCell ref="E122:F122"/>
    <mergeCell ref="C123:D123"/>
    <mergeCell ref="E123:F123"/>
    <mergeCell ref="C118:D118"/>
    <mergeCell ref="E118:F118"/>
    <mergeCell ref="C119:D119"/>
    <mergeCell ref="E119:F119"/>
    <mergeCell ref="C120:D120"/>
    <mergeCell ref="E120:F120"/>
    <mergeCell ref="C115:D115"/>
    <mergeCell ref="E115:F115"/>
    <mergeCell ref="C116:D116"/>
    <mergeCell ref="E116:F116"/>
    <mergeCell ref="C117:D117"/>
    <mergeCell ref="E117:F117"/>
    <mergeCell ref="A47:B47"/>
    <mergeCell ref="C47:F47"/>
    <mergeCell ref="G47:J47"/>
    <mergeCell ref="A91:J91"/>
    <mergeCell ref="A94:B94"/>
    <mergeCell ref="C94:F94"/>
    <mergeCell ref="G94:J94"/>
    <mergeCell ref="A1:B1"/>
    <mergeCell ref="C5:E5"/>
    <mergeCell ref="C1:F1"/>
    <mergeCell ref="G1:J1"/>
    <mergeCell ref="A44:J44"/>
  </mergeCells>
  <dataValidations count="1">
    <dataValidation type="list" showInputMessage="1" showErrorMessage="1" prompt="Select a price horizon to budget from" sqref="C1">
      <formula1>price_selections</formula1>
    </dataValidation>
  </dataValidations>
  <pageMargins left="0.25" right="0.25" top="0.75" bottom="0.5" header="0.3" footer="0"/>
  <pageSetup orientation="portrait" horizontalDpi="4294967295" verticalDpi="4294967295" r:id="rId1"/>
  <headerFooter>
    <oddHeader>&amp;L&amp;"-,Bold"&amp;20FARM MANAGEMENT GUIDE</oddHeader>
  </headerFooter>
  <rowBreaks count="2" manualBreakCount="2">
    <brk id="46" max="9" man="1"/>
    <brk id="93"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locked="0" defaultSize="0" print="0" autoFill="0" autoPict="0" macro="[0]!PrintStockerBudget">
                <anchor moveWithCells="1" sizeWithCells="1">
                  <from>
                    <xdr:col>11</xdr:col>
                    <xdr:colOff>19050</xdr:colOff>
                    <xdr:row>2</xdr:row>
                    <xdr:rowOff>171450</xdr:rowOff>
                  </from>
                  <to>
                    <xdr:col>14</xdr:col>
                    <xdr:colOff>428625</xdr:colOff>
                    <xdr:row>4</xdr:row>
                    <xdr:rowOff>114300</xdr:rowOff>
                  </to>
                </anchor>
              </controlPr>
            </control>
          </mc:Choice>
        </mc:AlternateContent>
        <mc:AlternateContent xmlns:mc="http://schemas.openxmlformats.org/markup-compatibility/2006">
          <mc:Choice Requires="x14">
            <control shapeId="13314" r:id="rId5" name="Button 2">
              <controlPr defaultSize="0" print="0" autoFill="0" autoPict="0" macro="[0]!PrintStockerPage">
                <anchor moveWithCells="1" sizeWithCells="1">
                  <from>
                    <xdr:col>10</xdr:col>
                    <xdr:colOff>600075</xdr:colOff>
                    <xdr:row>5</xdr:row>
                    <xdr:rowOff>152400</xdr:rowOff>
                  </from>
                  <to>
                    <xdr:col>14</xdr:col>
                    <xdr:colOff>438150</xdr:colOff>
                    <xdr:row>7</xdr:row>
                    <xdr:rowOff>95250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C00000"/>
  </sheetPr>
  <dimension ref="A1:T134"/>
  <sheetViews>
    <sheetView zoomScale="110" zoomScaleNormal="110" workbookViewId="0">
      <selection activeCell="J26" sqref="J26"/>
    </sheetView>
  </sheetViews>
  <sheetFormatPr defaultRowHeight="15" x14ac:dyDescent="0.25"/>
  <cols>
    <col min="1" max="1" width="30.5703125" customWidth="1"/>
    <col min="2" max="2" width="12.85546875" customWidth="1"/>
    <col min="3" max="3" width="11.5703125" customWidth="1"/>
    <col min="4" max="4" width="2.85546875" bestFit="1" customWidth="1"/>
    <col min="5" max="5" width="7.5703125" bestFit="1" customWidth="1"/>
    <col min="6" max="6" width="7" customWidth="1"/>
    <col min="7" max="7" width="5" customWidth="1"/>
    <col min="8" max="8" width="3.7109375" customWidth="1"/>
    <col min="9" max="9" width="5.42578125" customWidth="1"/>
    <col min="10" max="10" width="16.42578125" customWidth="1"/>
  </cols>
  <sheetData>
    <row r="1" spans="1:20" ht="15" customHeight="1" x14ac:dyDescent="0.25">
      <c r="A1" s="226" t="s">
        <v>94</v>
      </c>
      <c r="B1" s="227"/>
      <c r="C1" s="228" t="s">
        <v>19</v>
      </c>
      <c r="D1" s="228"/>
      <c r="E1" s="228"/>
      <c r="F1" s="228"/>
      <c r="G1" s="231" t="str">
        <f>IF(C1=Prices!B4,TEXT(Prices!B5,"MMM-YYYY"),IF(C1=Prices!C4,TEXT(Prices!C5,"MMM-YYYY"),TEXT(Prices!#REF!,"MMM-YYYY")))</f>
        <v>(as of Sept 1st, 2016)</v>
      </c>
      <c r="H1" s="231"/>
      <c r="I1" s="231"/>
      <c r="J1" s="231"/>
      <c r="K1" s="72"/>
    </row>
    <row r="2" spans="1:20" x14ac:dyDescent="0.25">
      <c r="A2" s="18"/>
      <c r="B2" s="19"/>
      <c r="C2" s="20"/>
      <c r="D2" s="21"/>
      <c r="E2" s="20"/>
      <c r="F2" s="20"/>
      <c r="G2" s="21"/>
      <c r="H2" s="20"/>
      <c r="I2" s="21"/>
      <c r="J2" s="20"/>
      <c r="L2" s="70" t="s">
        <v>101</v>
      </c>
      <c r="M2" s="71"/>
      <c r="N2" s="71"/>
      <c r="O2" s="71"/>
      <c r="P2" s="71"/>
      <c r="Q2" s="71"/>
      <c r="R2" s="71"/>
      <c r="S2" s="71"/>
      <c r="T2" s="71"/>
    </row>
    <row r="3" spans="1:20" x14ac:dyDescent="0.25">
      <c r="A3" s="9" t="s">
        <v>2</v>
      </c>
      <c r="D3" s="40"/>
      <c r="G3" s="40"/>
      <c r="I3" s="40"/>
    </row>
    <row r="4" spans="1:20" x14ac:dyDescent="0.25">
      <c r="A4" t="s">
        <v>47</v>
      </c>
      <c r="B4" s="108">
        <v>1.4999999999999999E-2</v>
      </c>
      <c r="D4" s="40"/>
      <c r="F4" s="42"/>
      <c r="G4" s="40"/>
      <c r="I4" s="235" t="s">
        <v>102</v>
      </c>
      <c r="J4" s="235"/>
    </row>
    <row r="5" spans="1:20" x14ac:dyDescent="0.25">
      <c r="A5" t="s">
        <v>50</v>
      </c>
      <c r="B5" s="111">
        <v>160</v>
      </c>
      <c r="C5" s="230" t="s">
        <v>49</v>
      </c>
      <c r="D5" s="230"/>
      <c r="E5" s="230"/>
      <c r="F5" s="115">
        <v>3.7</v>
      </c>
      <c r="G5" s="40"/>
      <c r="I5" s="40"/>
      <c r="J5" s="73">
        <f>(E8-E9)/100</f>
        <v>5.92</v>
      </c>
    </row>
    <row r="6" spans="1:20" x14ac:dyDescent="0.25">
      <c r="D6" s="40"/>
      <c r="G6" s="40"/>
      <c r="I6" s="40"/>
    </row>
    <row r="7" spans="1:20" x14ac:dyDescent="0.25">
      <c r="A7" s="14" t="s">
        <v>64</v>
      </c>
      <c r="B7" s="14" t="s">
        <v>3</v>
      </c>
      <c r="C7" s="14" t="s">
        <v>4</v>
      </c>
      <c r="D7" s="14"/>
      <c r="E7" s="14" t="s">
        <v>18</v>
      </c>
      <c r="F7" s="14" t="s">
        <v>4</v>
      </c>
      <c r="G7" s="14"/>
      <c r="H7" s="14"/>
      <c r="I7" s="14"/>
      <c r="J7" s="14" t="s">
        <v>20</v>
      </c>
      <c r="K7" s="20"/>
    </row>
    <row r="8" spans="1:20" x14ac:dyDescent="0.25">
      <c r="A8" t="s">
        <v>99</v>
      </c>
      <c r="B8" s="122" t="e">
        <f>(IF(C1=Prices!A1,Prices!#REF!,IF(C1=Prices!A2,Prices!#REF!,IF(C1=Prices!A3,Prices!#REF!,""))))</f>
        <v>#REF!</v>
      </c>
      <c r="C8" s="6" t="s">
        <v>41</v>
      </c>
      <c r="D8" s="40" t="s">
        <v>45</v>
      </c>
      <c r="E8" s="41">
        <f>E9+(B5*F5)</f>
        <v>1367</v>
      </c>
      <c r="F8" s="6" t="s">
        <v>5</v>
      </c>
      <c r="G8" s="40"/>
      <c r="H8" s="5"/>
      <c r="I8" s="11" t="s">
        <v>46</v>
      </c>
      <c r="J8" s="4" t="e">
        <f>B8*(E8/100)</f>
        <v>#REF!</v>
      </c>
      <c r="K8" s="69"/>
      <c r="L8" s="20"/>
      <c r="M8" s="20"/>
      <c r="N8" s="20"/>
    </row>
    <row r="9" spans="1:20" x14ac:dyDescent="0.25">
      <c r="A9" t="s">
        <v>43</v>
      </c>
      <c r="B9" s="118" t="e">
        <f>(IF(C1=Prices!A1,Prices!#REF!,IF(C1=Prices!A2,Prices!#REF!,IF(C1=Prices!A3,Prices!#REF!,""))))</f>
        <v>#REF!</v>
      </c>
      <c r="C9" s="6" t="s">
        <v>41</v>
      </c>
      <c r="D9" s="40" t="s">
        <v>45</v>
      </c>
      <c r="E9" s="110">
        <v>775</v>
      </c>
      <c r="F9" s="6" t="s">
        <v>5</v>
      </c>
      <c r="G9" s="40"/>
      <c r="H9" s="5"/>
      <c r="I9" s="11" t="s">
        <v>46</v>
      </c>
      <c r="J9" s="4" t="e">
        <f>-(B9*(E9/100))</f>
        <v>#REF!</v>
      </c>
      <c r="K9" s="20"/>
      <c r="L9" s="20"/>
      <c r="M9" s="20"/>
      <c r="N9" s="20"/>
    </row>
    <row r="10" spans="1:20" x14ac:dyDescent="0.25">
      <c r="A10" t="s">
        <v>47</v>
      </c>
      <c r="B10" s="1"/>
      <c r="C10" s="6"/>
      <c r="D10" s="40"/>
      <c r="E10" s="31"/>
      <c r="F10" s="6"/>
      <c r="G10" s="40"/>
      <c r="H10" s="5"/>
      <c r="I10" s="11"/>
      <c r="J10" s="4" t="e">
        <f>(B4*J9)</f>
        <v>#REF!</v>
      </c>
      <c r="K10" s="20"/>
      <c r="L10" s="20"/>
      <c r="M10" s="20"/>
      <c r="N10" s="20"/>
      <c r="R10" s="4"/>
      <c r="S10" s="4"/>
    </row>
    <row r="11" spans="1:20" x14ac:dyDescent="0.25">
      <c r="A11" t="s">
        <v>21</v>
      </c>
      <c r="B11" s="1"/>
      <c r="C11" s="6"/>
      <c r="D11" s="40"/>
      <c r="E11" s="3"/>
      <c r="F11" s="6"/>
      <c r="G11" s="40"/>
      <c r="H11" s="5"/>
      <c r="I11" s="11"/>
      <c r="J11" s="1"/>
      <c r="K11" s="20"/>
      <c r="L11" s="20"/>
      <c r="M11" s="20"/>
      <c r="N11" s="20"/>
    </row>
    <row r="12" spans="1:20" x14ac:dyDescent="0.25">
      <c r="A12" s="17" t="s">
        <v>65</v>
      </c>
      <c r="B12" s="12"/>
      <c r="C12" s="12"/>
      <c r="D12" s="13"/>
      <c r="E12" s="12"/>
      <c r="F12" s="12"/>
      <c r="G12" s="13"/>
      <c r="H12" s="12"/>
      <c r="I12" s="13"/>
      <c r="J12" s="15" t="e">
        <f>SUM(J8:J11)</f>
        <v>#REF!</v>
      </c>
      <c r="K12" s="20"/>
      <c r="L12" s="20"/>
      <c r="M12" s="20"/>
      <c r="N12" s="20"/>
    </row>
    <row r="13" spans="1:20" x14ac:dyDescent="0.25">
      <c r="A13" s="7"/>
      <c r="D13" s="40"/>
      <c r="G13" s="40"/>
      <c r="I13" s="40"/>
      <c r="K13" s="20"/>
      <c r="L13" s="20"/>
      <c r="M13" s="20"/>
      <c r="N13" s="20"/>
    </row>
    <row r="14" spans="1:20" x14ac:dyDescent="0.25">
      <c r="A14" s="14" t="s">
        <v>11</v>
      </c>
      <c r="B14" s="12"/>
      <c r="C14" s="12"/>
      <c r="D14" s="13"/>
      <c r="E14" s="12"/>
      <c r="F14" s="12"/>
      <c r="G14" s="13"/>
      <c r="H14" s="12"/>
      <c r="I14" s="13"/>
      <c r="J14" s="12"/>
      <c r="K14" s="20"/>
      <c r="L14" s="20"/>
      <c r="M14" s="20"/>
      <c r="N14" s="20"/>
    </row>
    <row r="15" spans="1:20" x14ac:dyDescent="0.25">
      <c r="A15" t="s">
        <v>23</v>
      </c>
      <c r="B15" s="118">
        <f>IF(C1=Prices!A1,(((Feed!I19/Feed!I22)*Prices!B10)+((Feed!I20/Feed!I22)*Prices!B9)+((Feed!I21/Feed!I22)*Prices!B11)),IF(C1=Prices!A2,(((Feed!I19/Feed!I22)*Prices!C10)+((Feed!I20/Feed!I22)*Prices!C9)+((Feed!I21/Feed!I22)*Prices!C11)),IF(C1=Prices!A3,((Feed!I19/Feed!I22)*Prices!#REF!)+((Feed!I20/Feed!I22)*Prices!#REF!)+((Feed!I21/Feed!I22)*Prices!#REF!),"")))</f>
        <v>82.5</v>
      </c>
      <c r="C15" s="6" t="s">
        <v>26</v>
      </c>
      <c r="D15" s="40" t="s">
        <v>45</v>
      </c>
      <c r="E15" s="56">
        <f>(Feed!I22*Feedlot!B5)/2000</f>
        <v>0.24</v>
      </c>
      <c r="F15" s="6" t="s">
        <v>68</v>
      </c>
      <c r="G15" s="40"/>
      <c r="H15" s="5"/>
      <c r="I15" s="11" t="s">
        <v>7</v>
      </c>
      <c r="J15" s="118">
        <f>B15*E15</f>
        <v>19.8</v>
      </c>
      <c r="K15" s="20"/>
    </row>
    <row r="16" spans="1:20" x14ac:dyDescent="0.25">
      <c r="A16" s="26" t="s">
        <v>28</v>
      </c>
      <c r="B16" s="118" t="e">
        <f>IF(C1=Prices!A1,(((Feed!I25/Feed!I26)*Prices!B7)+((Feed!I24/Feed!I26)*Prices!#REF!)+((Feed!I23/Feed!I26)*(Prices!B6*2000)/56)),IF(C1=Prices!A2,(((Feed!I25/Feed!I26)*Prices!C7)+((Feed!I24/Feed!I26)*Prices!#REF!)+((Feed!I23/Feed!I26)*(Prices!C6*2000)/56)),IF(C1=Prices!A3,(((Feed!I25/Feed!I26)*Prices!#REF!)+((Feed!I24/Feed!I26)*Prices!#REF!)+((Feed!I23/Feed!I26)*(Prices!#REF!*2000)/56)),"")))</f>
        <v>#REF!</v>
      </c>
      <c r="C16" s="6" t="s">
        <v>26</v>
      </c>
      <c r="D16" s="40" t="s">
        <v>45</v>
      </c>
      <c r="E16" s="45">
        <f>Feed!I26*B5</f>
        <v>3520</v>
      </c>
      <c r="F16" s="6" t="s">
        <v>69</v>
      </c>
      <c r="G16" s="40"/>
      <c r="H16" s="5"/>
      <c r="I16" s="11" t="s">
        <v>7</v>
      </c>
      <c r="J16" s="118" t="e">
        <f>(B16/2000)*E16</f>
        <v>#REF!</v>
      </c>
      <c r="K16" s="20"/>
      <c r="N16" s="49"/>
    </row>
    <row r="17" spans="1:16" x14ac:dyDescent="0.25">
      <c r="A17" t="s">
        <v>27</v>
      </c>
      <c r="B17" s="118" t="e">
        <f>IF(C1=Prices!A1,Prices!#REF!, IF(C1=Prices!A2,Prices!#REF!, IF(C1=Prices!A3,Prices!#REF!, "")))</f>
        <v>#REF!</v>
      </c>
      <c r="C17" s="6" t="s">
        <v>26</v>
      </c>
      <c r="D17" s="40" t="s">
        <v>45</v>
      </c>
      <c r="E17" s="45">
        <f>Feed!I27*B5</f>
        <v>80</v>
      </c>
      <c r="F17" s="6" t="s">
        <v>69</v>
      </c>
      <c r="G17" s="40"/>
      <c r="H17" s="5"/>
      <c r="I17" s="11" t="s">
        <v>7</v>
      </c>
      <c r="J17" s="118" t="e">
        <f>(B17/2000)*E17</f>
        <v>#REF!</v>
      </c>
      <c r="K17" s="20"/>
      <c r="L17" s="87"/>
      <c r="M17" s="87"/>
      <c r="N17" s="20"/>
      <c r="O17" s="4"/>
      <c r="P17" s="4"/>
    </row>
    <row r="18" spans="1:16" x14ac:dyDescent="0.25">
      <c r="A18" t="s">
        <v>113</v>
      </c>
      <c r="B18" s="109">
        <v>0</v>
      </c>
      <c r="C18" s="6" t="s">
        <v>114</v>
      </c>
      <c r="D18" s="117" t="s">
        <v>45</v>
      </c>
      <c r="E18" s="111">
        <v>0</v>
      </c>
      <c r="F18" s="6" t="s">
        <v>115</v>
      </c>
      <c r="G18" s="117"/>
      <c r="H18" s="5"/>
      <c r="I18" s="11" t="s">
        <v>46</v>
      </c>
      <c r="J18" s="109">
        <f>B18*E18</f>
        <v>0</v>
      </c>
      <c r="K18" s="20"/>
      <c r="L18" s="87"/>
      <c r="M18" s="87"/>
      <c r="N18" s="20"/>
      <c r="O18" s="4"/>
      <c r="P18" s="4"/>
    </row>
    <row r="19" spans="1:16" x14ac:dyDescent="0.25">
      <c r="A19" t="s">
        <v>29</v>
      </c>
      <c r="B19" s="109">
        <v>20</v>
      </c>
      <c r="C19" s="6" t="s">
        <v>57</v>
      </c>
      <c r="D19" s="40" t="s">
        <v>45</v>
      </c>
      <c r="E19" s="111">
        <f>(B5/30)*0.15</f>
        <v>0.79999999999999993</v>
      </c>
      <c r="F19" s="6" t="s">
        <v>58</v>
      </c>
      <c r="G19" s="40"/>
      <c r="H19" s="5"/>
      <c r="I19" s="11" t="s">
        <v>7</v>
      </c>
      <c r="J19" s="109">
        <f>B19*E19</f>
        <v>15.999999999999998</v>
      </c>
      <c r="K19" s="20"/>
      <c r="L19" s="20"/>
      <c r="M19" s="20"/>
      <c r="N19" s="20"/>
    </row>
    <row r="20" spans="1:16" x14ac:dyDescent="0.25">
      <c r="A20" t="s">
        <v>30</v>
      </c>
      <c r="B20" s="1"/>
      <c r="C20" s="6"/>
      <c r="D20" s="40"/>
      <c r="E20" s="3"/>
      <c r="F20" s="6"/>
      <c r="G20" s="40"/>
      <c r="H20" s="5"/>
      <c r="I20" s="11"/>
      <c r="J20" s="120">
        <f>ROUND(3.39*J5,0)</f>
        <v>20</v>
      </c>
      <c r="K20" s="20"/>
      <c r="M20" s="20"/>
      <c r="N20" s="20"/>
    </row>
    <row r="21" spans="1:16" x14ac:dyDescent="0.25">
      <c r="A21" t="s">
        <v>48</v>
      </c>
      <c r="B21" s="1"/>
      <c r="C21" s="6"/>
      <c r="D21" s="40"/>
      <c r="E21" s="3"/>
      <c r="F21" s="6"/>
      <c r="G21" s="40"/>
      <c r="H21" s="5"/>
      <c r="I21" s="11"/>
      <c r="J21" s="120">
        <f>ROUND(1.91*J5,0)</f>
        <v>11</v>
      </c>
      <c r="K21" s="20"/>
      <c r="M21" s="20"/>
      <c r="N21" s="20"/>
    </row>
    <row r="22" spans="1:16" x14ac:dyDescent="0.25">
      <c r="A22" t="s">
        <v>31</v>
      </c>
      <c r="B22" s="1"/>
      <c r="C22" s="6"/>
      <c r="D22" s="40"/>
      <c r="E22" s="3"/>
      <c r="F22" s="6"/>
      <c r="G22" s="40"/>
      <c r="H22" s="5"/>
      <c r="I22" s="11"/>
      <c r="J22" s="120">
        <f>ROUND(2.18*J5,0)</f>
        <v>13</v>
      </c>
      <c r="K22" s="20"/>
      <c r="M22" s="20"/>
      <c r="N22" s="20"/>
    </row>
    <row r="23" spans="1:16" x14ac:dyDescent="0.25">
      <c r="A23" t="s">
        <v>59</v>
      </c>
      <c r="B23" s="1"/>
      <c r="C23" s="6"/>
      <c r="D23" s="40"/>
      <c r="E23" s="3"/>
      <c r="F23" s="6"/>
      <c r="G23" s="40"/>
      <c r="H23" s="5"/>
      <c r="I23" s="11"/>
      <c r="J23" s="120">
        <f>ROUND(2.7*J5,0)</f>
        <v>16</v>
      </c>
      <c r="K23" s="20"/>
      <c r="M23" s="20"/>
      <c r="N23" s="20"/>
    </row>
    <row r="24" spans="1:16" x14ac:dyDescent="0.25">
      <c r="A24" t="s">
        <v>111</v>
      </c>
      <c r="B24" s="1"/>
      <c r="C24" s="6"/>
      <c r="D24" s="116"/>
      <c r="E24" s="3"/>
      <c r="F24" s="6"/>
      <c r="G24" s="116"/>
      <c r="H24" s="5"/>
      <c r="I24" s="11"/>
      <c r="J24" s="120">
        <f>ROUND(2.85*J5,0)</f>
        <v>17</v>
      </c>
      <c r="K24" s="20"/>
      <c r="M24" s="20"/>
      <c r="N24" s="20"/>
    </row>
    <row r="25" spans="1:16" x14ac:dyDescent="0.25">
      <c r="A25" s="12" t="s">
        <v>32</v>
      </c>
      <c r="B25" s="12"/>
      <c r="C25" s="36"/>
      <c r="D25" s="13"/>
      <c r="E25" s="37"/>
      <c r="F25" s="36"/>
      <c r="G25" s="13"/>
      <c r="H25" s="38"/>
      <c r="I25" s="39"/>
      <c r="J25" s="121">
        <f>ROUND(1.42*J5,0)</f>
        <v>8</v>
      </c>
      <c r="K25" s="20"/>
      <c r="M25" s="20"/>
      <c r="N25" s="20"/>
    </row>
    <row r="26" spans="1:16" x14ac:dyDescent="0.25">
      <c r="A26" s="7" t="s">
        <v>15</v>
      </c>
      <c r="D26" s="40"/>
      <c r="G26" s="40"/>
      <c r="I26" s="40"/>
      <c r="J26" s="8" t="e">
        <f>SUM(J15:J25)</f>
        <v>#REF!</v>
      </c>
      <c r="K26" s="20"/>
      <c r="L26" s="20"/>
      <c r="M26" s="20"/>
      <c r="N26" s="20"/>
    </row>
    <row r="27" spans="1:16" x14ac:dyDescent="0.25">
      <c r="D27" s="40"/>
      <c r="G27" s="40"/>
      <c r="I27" s="40"/>
      <c r="K27" s="20"/>
      <c r="L27" s="20"/>
      <c r="M27" s="20"/>
      <c r="N27" s="20"/>
    </row>
    <row r="28" spans="1:16" x14ac:dyDescent="0.25">
      <c r="A28" s="14" t="s">
        <v>12</v>
      </c>
      <c r="B28" s="12"/>
      <c r="C28" s="12"/>
      <c r="D28" s="13"/>
      <c r="E28" s="12"/>
      <c r="F28" s="12"/>
      <c r="G28" s="13"/>
      <c r="H28" s="12"/>
      <c r="I28" s="13"/>
      <c r="J28" s="12"/>
      <c r="K28" s="20"/>
      <c r="L28" s="20"/>
      <c r="M28" s="20"/>
      <c r="N28" s="20"/>
    </row>
    <row r="29" spans="1:16" x14ac:dyDescent="0.25">
      <c r="A29" t="s">
        <v>33</v>
      </c>
      <c r="D29" s="40"/>
      <c r="G29" s="40"/>
      <c r="I29" s="40"/>
      <c r="J29" s="109">
        <v>13</v>
      </c>
      <c r="K29" s="20"/>
      <c r="L29" s="20"/>
      <c r="M29" s="20"/>
      <c r="N29" s="20"/>
    </row>
    <row r="30" spans="1:16" x14ac:dyDescent="0.25">
      <c r="A30" t="s">
        <v>63</v>
      </c>
      <c r="D30" s="40"/>
      <c r="G30" s="40"/>
      <c r="I30" s="40"/>
      <c r="J30" s="109">
        <v>1.25</v>
      </c>
      <c r="K30" s="20"/>
      <c r="L30" s="20"/>
      <c r="M30" s="20"/>
      <c r="N30" s="20"/>
    </row>
    <row r="31" spans="1:16" x14ac:dyDescent="0.25">
      <c r="A31" t="s">
        <v>61</v>
      </c>
      <c r="D31" s="40"/>
      <c r="G31" s="40"/>
      <c r="I31" s="40"/>
      <c r="J31" s="109">
        <v>4.5</v>
      </c>
      <c r="K31" s="20"/>
      <c r="L31" s="20"/>
      <c r="M31" s="20"/>
      <c r="N31" s="20"/>
    </row>
    <row r="32" spans="1:16" x14ac:dyDescent="0.25">
      <c r="A32" s="29" t="s">
        <v>60</v>
      </c>
      <c r="B32" s="29"/>
      <c r="C32" s="29"/>
      <c r="D32" s="30"/>
      <c r="E32" s="29"/>
      <c r="F32" s="29"/>
      <c r="G32" s="30"/>
      <c r="H32" s="29"/>
      <c r="I32" s="30"/>
      <c r="J32" s="113">
        <v>51</v>
      </c>
      <c r="K32" s="20"/>
      <c r="L32" s="20"/>
      <c r="M32" s="20"/>
      <c r="N32" s="20"/>
    </row>
    <row r="33" spans="1:14" x14ac:dyDescent="0.25">
      <c r="A33" s="50" t="s">
        <v>75</v>
      </c>
      <c r="B33" s="29"/>
      <c r="C33" s="29"/>
      <c r="D33" s="30"/>
      <c r="E33" s="29"/>
      <c r="F33" s="29"/>
      <c r="G33" s="30"/>
      <c r="H33" s="29"/>
      <c r="I33" s="30"/>
      <c r="J33" s="113">
        <v>0</v>
      </c>
      <c r="K33" s="20"/>
      <c r="L33" s="20"/>
      <c r="M33" s="20"/>
      <c r="N33" s="20"/>
    </row>
    <row r="34" spans="1:14" x14ac:dyDescent="0.25">
      <c r="A34" s="53" t="s">
        <v>13</v>
      </c>
      <c r="B34" s="54"/>
      <c r="C34" s="54"/>
      <c r="D34" s="52"/>
      <c r="E34" s="54"/>
      <c r="F34" s="54"/>
      <c r="G34" s="52"/>
      <c r="H34" s="54"/>
      <c r="I34" s="52"/>
      <c r="J34" s="55">
        <f>SUM(J29:J32)</f>
        <v>69.75</v>
      </c>
      <c r="K34" s="20"/>
      <c r="L34" s="20"/>
      <c r="M34" s="20"/>
      <c r="N34" s="20"/>
    </row>
    <row r="35" spans="1:14" x14ac:dyDescent="0.25">
      <c r="B35" s="1"/>
      <c r="C35" s="6"/>
      <c r="D35" s="66"/>
      <c r="E35" s="3"/>
      <c r="F35" s="6"/>
      <c r="G35" s="66"/>
      <c r="H35" s="5"/>
      <c r="I35" s="11"/>
      <c r="J35" s="1"/>
      <c r="K35" s="20"/>
      <c r="L35" s="20"/>
      <c r="M35" s="20"/>
      <c r="N35" s="20"/>
    </row>
    <row r="36" spans="1:14" x14ac:dyDescent="0.25">
      <c r="A36" s="14" t="s">
        <v>14</v>
      </c>
      <c r="B36" s="12"/>
      <c r="C36" s="12"/>
      <c r="D36" s="13"/>
      <c r="E36" s="12"/>
      <c r="F36" s="12"/>
      <c r="G36" s="13"/>
      <c r="H36" s="12"/>
      <c r="I36" s="13"/>
      <c r="J36" s="15" t="e">
        <f>J26+J34</f>
        <v>#REF!</v>
      </c>
      <c r="K36" s="87"/>
      <c r="L36" s="20"/>
      <c r="M36" s="20"/>
      <c r="N36" s="20"/>
    </row>
    <row r="37" spans="1:14" x14ac:dyDescent="0.25">
      <c r="D37" s="40"/>
      <c r="G37" s="40"/>
      <c r="I37" s="40"/>
      <c r="K37" s="20"/>
      <c r="L37" s="20"/>
      <c r="M37" s="20"/>
      <c r="N37" s="20"/>
    </row>
    <row r="38" spans="1:14" ht="15" customHeight="1" x14ac:dyDescent="0.25">
      <c r="A38" t="s">
        <v>34</v>
      </c>
      <c r="D38" s="40"/>
      <c r="G38" s="40"/>
      <c r="I38" s="40"/>
      <c r="J38" s="4" t="e">
        <f>J12-J26</f>
        <v>#REF!</v>
      </c>
      <c r="K38" s="20"/>
      <c r="L38" s="20"/>
      <c r="M38" s="20"/>
      <c r="N38" s="20"/>
    </row>
    <row r="39" spans="1:14" ht="15.75" thickBot="1" x14ac:dyDescent="0.3">
      <c r="A39" s="2" t="s">
        <v>16</v>
      </c>
      <c r="D39" s="40"/>
      <c r="G39" s="40"/>
      <c r="I39" s="40"/>
      <c r="J39" s="22" t="e">
        <f>J12-J36</f>
        <v>#REF!</v>
      </c>
      <c r="L39" s="20"/>
      <c r="M39" s="20"/>
      <c r="N39" s="20"/>
    </row>
    <row r="40" spans="1:14" ht="15.75" thickTop="1" x14ac:dyDescent="0.25"/>
    <row r="42" spans="1:14" ht="78" customHeight="1" x14ac:dyDescent="0.25">
      <c r="A42" s="28"/>
      <c r="B42" s="29"/>
      <c r="C42" s="29"/>
      <c r="D42" s="64"/>
      <c r="E42" s="29"/>
      <c r="F42" s="29"/>
      <c r="G42" s="64"/>
      <c r="H42" s="29"/>
      <c r="I42" s="64"/>
      <c r="J42" s="16"/>
    </row>
    <row r="43" spans="1:14" ht="15" customHeight="1" x14ac:dyDescent="0.25">
      <c r="A43" s="224" t="s">
        <v>42</v>
      </c>
      <c r="B43" s="232"/>
      <c r="C43" s="232"/>
      <c r="D43" s="232"/>
      <c r="E43" s="232"/>
      <c r="F43" s="232"/>
      <c r="G43" s="232"/>
      <c r="H43" s="232"/>
      <c r="I43" s="232"/>
      <c r="J43" s="232"/>
    </row>
    <row r="44" spans="1:14" ht="15.75" x14ac:dyDescent="0.25">
      <c r="A44" s="32" t="s">
        <v>95</v>
      </c>
      <c r="B44" s="32"/>
      <c r="C44" s="32"/>
      <c r="D44" s="32"/>
      <c r="E44" s="32"/>
      <c r="F44" s="32"/>
      <c r="G44" s="32"/>
      <c r="H44" s="32"/>
      <c r="I44" s="32"/>
      <c r="J44" s="32" t="e">
        <f>TEXT(#REF!,"MMM. DD, YYYY")</f>
        <v>#REF!</v>
      </c>
    </row>
    <row r="45" spans="1:14" x14ac:dyDescent="0.25">
      <c r="B45" s="35"/>
    </row>
    <row r="46" spans="1:14" ht="19.5" thickBot="1" x14ac:dyDescent="0.35">
      <c r="A46" s="219" t="s">
        <v>94</v>
      </c>
      <c r="B46" s="220"/>
      <c r="C46" s="221"/>
      <c r="D46" s="221"/>
      <c r="E46" s="221"/>
      <c r="F46" s="221"/>
      <c r="G46" s="222"/>
      <c r="H46" s="222"/>
      <c r="I46" s="222"/>
      <c r="J46" s="222"/>
    </row>
    <row r="89" spans="1:10" ht="31.5" customHeight="1" x14ac:dyDescent="0.25"/>
    <row r="90" spans="1:10" x14ac:dyDescent="0.25">
      <c r="A90" s="224" t="s">
        <v>42</v>
      </c>
      <c r="B90" s="232"/>
      <c r="C90" s="232"/>
      <c r="D90" s="232"/>
      <c r="E90" s="232"/>
      <c r="F90" s="232"/>
      <c r="G90" s="232"/>
      <c r="H90" s="232"/>
      <c r="I90" s="232"/>
      <c r="J90" s="232"/>
    </row>
    <row r="91" spans="1:10" ht="15.75" x14ac:dyDescent="0.25">
      <c r="A91" s="32" t="s">
        <v>95</v>
      </c>
      <c r="B91" s="32"/>
      <c r="C91" s="32"/>
      <c r="D91" s="32"/>
      <c r="E91" s="32"/>
      <c r="F91" s="32"/>
      <c r="G91" s="32"/>
      <c r="H91" s="32"/>
      <c r="I91" s="32"/>
      <c r="J91" s="32" t="e">
        <f>J44</f>
        <v>#REF!</v>
      </c>
    </row>
    <row r="92" spans="1:10" ht="15.75" x14ac:dyDescent="0.25">
      <c r="A92" s="61"/>
      <c r="B92" s="61"/>
      <c r="C92" s="61"/>
      <c r="D92" s="61"/>
      <c r="E92" s="61"/>
      <c r="F92" s="61"/>
      <c r="G92" s="61"/>
      <c r="H92" s="61"/>
      <c r="I92" s="61"/>
      <c r="J92" s="61"/>
    </row>
    <row r="93" spans="1:10" ht="19.5" thickBot="1" x14ac:dyDescent="0.35">
      <c r="A93" s="219" t="s">
        <v>94</v>
      </c>
      <c r="B93" s="220"/>
      <c r="C93" s="221"/>
      <c r="D93" s="221"/>
      <c r="E93" s="221"/>
      <c r="F93" s="221"/>
      <c r="G93" s="222"/>
      <c r="H93" s="222"/>
      <c r="I93" s="222"/>
      <c r="J93" s="222"/>
    </row>
    <row r="94" spans="1:10" ht="15.75" x14ac:dyDescent="0.25">
      <c r="A94" s="62" t="s">
        <v>85</v>
      </c>
    </row>
    <row r="96" spans="1:10" ht="15.75" thickBot="1" x14ac:dyDescent="0.3">
      <c r="A96" s="47" t="s">
        <v>100</v>
      </c>
      <c r="B96" s="46" t="s">
        <v>66</v>
      </c>
      <c r="C96" s="46"/>
      <c r="D96" s="46"/>
      <c r="E96" s="46"/>
    </row>
    <row r="97" spans="1:4" x14ac:dyDescent="0.25">
      <c r="A97" s="28"/>
      <c r="B97" s="14" t="s">
        <v>18</v>
      </c>
      <c r="C97" s="14" t="s">
        <v>4</v>
      </c>
    </row>
    <row r="98" spans="1:4" x14ac:dyDescent="0.25">
      <c r="A98" s="43" t="s">
        <v>108</v>
      </c>
      <c r="B98" s="56">
        <f>Feed!I19</f>
        <v>1.5</v>
      </c>
      <c r="C98" s="6" t="s">
        <v>52</v>
      </c>
      <c r="D98" s="6"/>
    </row>
    <row r="99" spans="1:4" x14ac:dyDescent="0.25">
      <c r="A99" s="43" t="s">
        <v>78</v>
      </c>
      <c r="B99" s="56">
        <f>Feed!I20</f>
        <v>0</v>
      </c>
      <c r="C99" s="6" t="s">
        <v>52</v>
      </c>
      <c r="D99" s="6"/>
    </row>
    <row r="100" spans="1:4" x14ac:dyDescent="0.25">
      <c r="A100" s="43" t="s">
        <v>51</v>
      </c>
      <c r="B100" s="56">
        <f>Feed!I21</f>
        <v>1.5</v>
      </c>
      <c r="C100" s="6" t="s">
        <v>52</v>
      </c>
      <c r="D100" s="6"/>
    </row>
    <row r="101" spans="1:4" x14ac:dyDescent="0.25">
      <c r="A101" t="s">
        <v>77</v>
      </c>
      <c r="B101" s="56">
        <f>Feed!I22</f>
        <v>3</v>
      </c>
      <c r="C101" s="6" t="s">
        <v>52</v>
      </c>
      <c r="D101" s="6"/>
    </row>
    <row r="102" spans="1:4" x14ac:dyDescent="0.25">
      <c r="A102" s="43" t="s">
        <v>53</v>
      </c>
      <c r="B102" s="56">
        <f>Feed!I23</f>
        <v>17</v>
      </c>
      <c r="C102" s="6" t="s">
        <v>52</v>
      </c>
      <c r="D102" s="6"/>
    </row>
    <row r="103" spans="1:4" x14ac:dyDescent="0.25">
      <c r="A103" s="43" t="s">
        <v>54</v>
      </c>
      <c r="B103" s="56">
        <f>Feed!I24</f>
        <v>5</v>
      </c>
      <c r="C103" s="6" t="s">
        <v>52</v>
      </c>
      <c r="D103" s="6"/>
    </row>
    <row r="104" spans="1:4" x14ac:dyDescent="0.25">
      <c r="A104" s="43" t="s">
        <v>55</v>
      </c>
      <c r="B104" s="56">
        <f>Feed!I25</f>
        <v>0</v>
      </c>
      <c r="C104" s="6" t="s">
        <v>52</v>
      </c>
      <c r="D104" s="6"/>
    </row>
    <row r="105" spans="1:4" x14ac:dyDescent="0.25">
      <c r="A105" t="s">
        <v>76</v>
      </c>
      <c r="B105" s="56">
        <f>Feed!I26</f>
        <v>22</v>
      </c>
      <c r="C105" s="6" t="s">
        <v>52</v>
      </c>
      <c r="D105" s="44"/>
    </row>
    <row r="106" spans="1:4" x14ac:dyDescent="0.25">
      <c r="A106" t="s">
        <v>40</v>
      </c>
      <c r="B106" s="67">
        <f>Feed!I27</f>
        <v>0.5</v>
      </c>
      <c r="C106" s="6" t="s">
        <v>52</v>
      </c>
    </row>
    <row r="113" spans="1:6" ht="15.75" thickBot="1" x14ac:dyDescent="0.3">
      <c r="A113" s="47" t="s">
        <v>110</v>
      </c>
      <c r="B113" s="46"/>
      <c r="C113" s="46"/>
      <c r="D113" s="46"/>
      <c r="E113" s="46"/>
      <c r="F113" s="46"/>
    </row>
    <row r="114" spans="1:6" ht="15" customHeight="1" x14ac:dyDescent="0.25">
      <c r="A114" s="57"/>
      <c r="B114" s="65" t="s">
        <v>86</v>
      </c>
      <c r="C114" s="223" t="s">
        <v>87</v>
      </c>
      <c r="D114" s="223"/>
      <c r="E114" s="233" t="s">
        <v>88</v>
      </c>
      <c r="F114" s="233"/>
    </row>
    <row r="115" spans="1:6" x14ac:dyDescent="0.25">
      <c r="A115" t="s">
        <v>97</v>
      </c>
      <c r="B115" s="58" t="e">
        <f>Prices!#REF!</f>
        <v>#REF!</v>
      </c>
      <c r="C115" s="225" t="e">
        <f>Prices!#REF!</f>
        <v>#REF!</v>
      </c>
      <c r="D115" s="225"/>
      <c r="E115" s="225" t="e">
        <f>Prices!#REF!</f>
        <v>#REF!</v>
      </c>
      <c r="F115" s="225"/>
    </row>
    <row r="116" spans="1:6" x14ac:dyDescent="0.25">
      <c r="A116" t="s">
        <v>98</v>
      </c>
      <c r="B116" s="58" t="e">
        <f>Prices!#REF!</f>
        <v>#REF!</v>
      </c>
      <c r="C116" s="218" t="e">
        <f>Prices!#REF!</f>
        <v>#REF!</v>
      </c>
      <c r="D116" s="218"/>
      <c r="E116" s="218" t="e">
        <f>Prices!#REF!</f>
        <v>#REF!</v>
      </c>
      <c r="F116" s="218"/>
    </row>
    <row r="117" spans="1:6" x14ac:dyDescent="0.25">
      <c r="A117" t="s">
        <v>9</v>
      </c>
      <c r="B117" s="58">
        <f>Prices!B6</f>
        <v>311.2</v>
      </c>
      <c r="C117" s="218">
        <f>Prices!C6</f>
        <v>303.2</v>
      </c>
      <c r="D117" s="218"/>
      <c r="E117" s="218" t="e">
        <f>Prices!#REF!</f>
        <v>#REF!</v>
      </c>
      <c r="F117" s="218"/>
    </row>
    <row r="118" spans="1:6" x14ac:dyDescent="0.25">
      <c r="A118" t="s">
        <v>10</v>
      </c>
      <c r="B118" s="58">
        <f>Prices!B7</f>
        <v>4.8899999999999997</v>
      </c>
      <c r="C118" s="218">
        <f>Prices!C7</f>
        <v>5.6088717948717939</v>
      </c>
      <c r="D118" s="218"/>
      <c r="E118" s="218" t="e">
        <f>Prices!#REF!</f>
        <v>#REF!</v>
      </c>
      <c r="F118" s="218"/>
    </row>
    <row r="119" spans="1:6" x14ac:dyDescent="0.25">
      <c r="A119" t="s">
        <v>89</v>
      </c>
      <c r="B119" s="58" t="e">
        <f>Prices!#REF!</f>
        <v>#REF!</v>
      </c>
      <c r="C119" s="218" t="e">
        <f>Prices!#REF!</f>
        <v>#REF!</v>
      </c>
      <c r="D119" s="218"/>
      <c r="E119" s="218" t="e">
        <f>Prices!#REF!</f>
        <v>#REF!</v>
      </c>
      <c r="F119" s="218"/>
    </row>
    <row r="120" spans="1:6" x14ac:dyDescent="0.25">
      <c r="A120" t="s">
        <v>83</v>
      </c>
      <c r="B120" s="58">
        <f>Prices!B9</f>
        <v>23.4</v>
      </c>
      <c r="C120" s="218">
        <f>Prices!C9</f>
        <v>26.839999999999996</v>
      </c>
      <c r="D120" s="218"/>
      <c r="E120" s="218" t="e">
        <f>Prices!#REF!</f>
        <v>#REF!</v>
      </c>
      <c r="F120" s="218"/>
    </row>
    <row r="121" spans="1:6" x14ac:dyDescent="0.25">
      <c r="A121" t="s">
        <v>70</v>
      </c>
      <c r="B121" s="58">
        <f>Prices!B10</f>
        <v>60</v>
      </c>
      <c r="C121" s="218">
        <f>Prices!C10</f>
        <v>68.820512820512818</v>
      </c>
      <c r="D121" s="218"/>
      <c r="E121" s="218" t="e">
        <f>Prices!#REF!</f>
        <v>#REF!</v>
      </c>
      <c r="F121" s="218"/>
    </row>
    <row r="122" spans="1:6" x14ac:dyDescent="0.25">
      <c r="A122" t="s">
        <v>71</v>
      </c>
      <c r="B122" s="58">
        <f>Prices!B11</f>
        <v>105</v>
      </c>
      <c r="C122" s="218">
        <f>Prices!C11</f>
        <v>120.43589743589743</v>
      </c>
      <c r="D122" s="218"/>
      <c r="E122" s="218" t="e">
        <f>Prices!#REF!</f>
        <v>#REF!</v>
      </c>
      <c r="F122" s="218"/>
    </row>
    <row r="123" spans="1:6" x14ac:dyDescent="0.25">
      <c r="A123" t="s">
        <v>72</v>
      </c>
      <c r="B123" s="58">
        <f>Prices!B12</f>
        <v>19.22</v>
      </c>
      <c r="C123" s="218">
        <f>Prices!C12</f>
        <v>19.604399999999998</v>
      </c>
      <c r="D123" s="218"/>
      <c r="E123" s="218" t="e">
        <f>Prices!#REF!</f>
        <v>#REF!</v>
      </c>
      <c r="F123" s="218"/>
    </row>
    <row r="124" spans="1:6" x14ac:dyDescent="0.25">
      <c r="A124" t="s">
        <v>73</v>
      </c>
      <c r="B124" s="58" t="e">
        <f>Prices!#REF!</f>
        <v>#REF!</v>
      </c>
      <c r="C124" s="218" t="e">
        <f>Prices!#REF!</f>
        <v>#REF!</v>
      </c>
      <c r="D124" s="218"/>
      <c r="E124" s="218" t="e">
        <f>Prices!#REF!</f>
        <v>#REF!</v>
      </c>
      <c r="F124" s="218"/>
    </row>
    <row r="125" spans="1:6" x14ac:dyDescent="0.25">
      <c r="A125" t="s">
        <v>74</v>
      </c>
      <c r="B125" s="58" t="e">
        <f>Prices!#REF!</f>
        <v>#REF!</v>
      </c>
      <c r="C125" s="218" t="e">
        <f>Prices!#REF!</f>
        <v>#REF!</v>
      </c>
      <c r="D125" s="218"/>
      <c r="E125" s="218" t="e">
        <f>Prices!#REF!</f>
        <v>#REF!</v>
      </c>
      <c r="F125" s="218"/>
    </row>
    <row r="126" spans="1:6" x14ac:dyDescent="0.25">
      <c r="B126" s="58"/>
      <c r="C126" s="63"/>
      <c r="D126" s="64"/>
      <c r="E126" s="63"/>
      <c r="F126" s="64"/>
    </row>
    <row r="127" spans="1:6" ht="72.75" customHeight="1" x14ac:dyDescent="0.25">
      <c r="B127" s="58"/>
      <c r="C127" s="63"/>
      <c r="D127" s="64"/>
      <c r="E127" s="63"/>
      <c r="F127" s="64"/>
    </row>
    <row r="128" spans="1:6" x14ac:dyDescent="0.25">
      <c r="B128" s="58"/>
      <c r="C128" s="63"/>
      <c r="D128" s="64"/>
      <c r="E128" s="63"/>
      <c r="F128" s="64"/>
    </row>
    <row r="129" spans="1:10" x14ac:dyDescent="0.25">
      <c r="B129" s="58"/>
      <c r="C129" s="63"/>
      <c r="D129" s="64"/>
      <c r="E129" s="63"/>
      <c r="F129" s="64"/>
    </row>
    <row r="130" spans="1:10" x14ac:dyDescent="0.25">
      <c r="B130" s="58"/>
      <c r="C130" s="63"/>
      <c r="D130" s="64"/>
      <c r="E130" s="63"/>
      <c r="F130" s="64"/>
    </row>
    <row r="131" spans="1:10" x14ac:dyDescent="0.25">
      <c r="B131" s="58"/>
      <c r="C131" s="63"/>
      <c r="D131" s="64"/>
      <c r="E131" s="63"/>
      <c r="F131" s="64"/>
    </row>
    <row r="132" spans="1:10" x14ac:dyDescent="0.25">
      <c r="B132" s="58"/>
      <c r="C132" s="63"/>
      <c r="D132" s="64"/>
      <c r="E132" s="63"/>
      <c r="F132" s="64"/>
    </row>
    <row r="133" spans="1:10" x14ac:dyDescent="0.25">
      <c r="A133" s="224" t="s">
        <v>42</v>
      </c>
      <c r="B133" s="232"/>
      <c r="C133" s="232"/>
      <c r="D133" s="232"/>
      <c r="E133" s="232"/>
      <c r="F133" s="232"/>
      <c r="G133" s="232"/>
      <c r="H133" s="232"/>
      <c r="I133" s="232"/>
      <c r="J133" s="232"/>
    </row>
    <row r="134" spans="1:10" ht="15.75" x14ac:dyDescent="0.25">
      <c r="A134" s="32" t="s">
        <v>95</v>
      </c>
      <c r="B134" s="32"/>
      <c r="C134" s="32"/>
      <c r="D134" s="32"/>
      <c r="E134" s="32"/>
      <c r="F134" s="32"/>
      <c r="G134" s="32"/>
      <c r="H134" s="32"/>
      <c r="I134" s="32"/>
      <c r="J134" s="32" t="e">
        <f>J91</f>
        <v>#REF!</v>
      </c>
    </row>
  </sheetData>
  <sheetProtection sheet="1" objects="1" scenarios="1"/>
  <mergeCells count="38">
    <mergeCell ref="C125:D125"/>
    <mergeCell ref="E125:F125"/>
    <mergeCell ref="A133:J133"/>
    <mergeCell ref="I4:J4"/>
    <mergeCell ref="C122:D122"/>
    <mergeCell ref="E122:F122"/>
    <mergeCell ref="C123:D123"/>
    <mergeCell ref="E123:F123"/>
    <mergeCell ref="C124:D124"/>
    <mergeCell ref="E124:F124"/>
    <mergeCell ref="C119:D119"/>
    <mergeCell ref="E119:F119"/>
    <mergeCell ref="C120:D120"/>
    <mergeCell ref="E120:F120"/>
    <mergeCell ref="C121:D121"/>
    <mergeCell ref="E121:F121"/>
    <mergeCell ref="C117:D117"/>
    <mergeCell ref="E117:F117"/>
    <mergeCell ref="C118:D118"/>
    <mergeCell ref="E118:F118"/>
    <mergeCell ref="C114:D114"/>
    <mergeCell ref="E114:F114"/>
    <mergeCell ref="C115:D115"/>
    <mergeCell ref="E115:F115"/>
    <mergeCell ref="C116:D116"/>
    <mergeCell ref="E116:F116"/>
    <mergeCell ref="A46:B46"/>
    <mergeCell ref="C46:F46"/>
    <mergeCell ref="G46:J46"/>
    <mergeCell ref="A90:J90"/>
    <mergeCell ref="A93:B93"/>
    <mergeCell ref="C93:F93"/>
    <mergeCell ref="G93:J93"/>
    <mergeCell ref="A1:B1"/>
    <mergeCell ref="C1:F1"/>
    <mergeCell ref="G1:J1"/>
    <mergeCell ref="C5:E5"/>
    <mergeCell ref="A43:J43"/>
  </mergeCells>
  <dataValidations count="1">
    <dataValidation type="list" showInputMessage="1" showErrorMessage="1" prompt="Select a price horizon to budget from" sqref="C1">
      <formula1>price_selections</formula1>
    </dataValidation>
  </dataValidations>
  <pageMargins left="0.5" right="0.5" top="0.75" bottom="0.5" header="0.3" footer="0"/>
  <pageSetup scale="99" orientation="portrait" horizontalDpi="4294967295" verticalDpi="4294967295" r:id="rId1"/>
  <headerFooter>
    <oddHeader>&amp;L&amp;"-,Bold"&amp;20FARM MANAGEMENT GUIDE</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6405" r:id="rId4" name="Button 21">
              <controlPr defaultSize="0" print="0" autoFill="0" autoPict="0" macro="[0]!PrintFinishingBudget">
                <anchor moveWithCells="1">
                  <from>
                    <xdr:col>10</xdr:col>
                    <xdr:colOff>609600</xdr:colOff>
                    <xdr:row>4</xdr:row>
                    <xdr:rowOff>38100</xdr:rowOff>
                  </from>
                  <to>
                    <xdr:col>14</xdr:col>
                    <xdr:colOff>447675</xdr:colOff>
                    <xdr:row>6</xdr:row>
                    <xdr:rowOff>9525</xdr:rowOff>
                  </to>
                </anchor>
              </controlPr>
            </control>
          </mc:Choice>
        </mc:AlternateContent>
        <mc:AlternateContent xmlns:mc="http://schemas.openxmlformats.org/markup-compatibility/2006">
          <mc:Choice Requires="x14">
            <control shapeId="16406" r:id="rId5" name="Button 22">
              <controlPr defaultSize="0" print="0" autoFill="0" autoPict="0" macro="[0]!PrintFinishingPage">
                <anchor moveWithCells="1" sizeWithCells="1">
                  <from>
                    <xdr:col>11</xdr:col>
                    <xdr:colOff>9525</xdr:colOff>
                    <xdr:row>6</xdr:row>
                    <xdr:rowOff>180975</xdr:rowOff>
                  </from>
                  <to>
                    <xdr:col>14</xdr:col>
                    <xdr:colOff>466725</xdr:colOff>
                    <xdr:row>7</xdr:row>
                    <xdr:rowOff>152400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Introduction</vt:lpstr>
      <vt:lpstr>Prices</vt:lpstr>
      <vt:lpstr>Feed</vt:lpstr>
      <vt:lpstr>Once a Year Lambing</vt:lpstr>
      <vt:lpstr>Stocker</vt:lpstr>
      <vt:lpstr>Feedlot</vt:lpstr>
      <vt:lpstr>price_selections</vt:lpstr>
      <vt:lpstr>Feed!Print_Area</vt:lpstr>
      <vt:lpstr>Feedlot!Print_Area</vt:lpstr>
      <vt:lpstr>Introduction!Print_Area</vt:lpstr>
      <vt:lpstr>'Once a Year Lambing'!Print_Area</vt:lpstr>
      <vt:lpstr>Prices!Print_Area</vt:lpstr>
      <vt:lpstr>Stocker!Print_Area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Glynn Tonsor</dc:creator>
  <cp:lastModifiedBy>robinreid</cp:lastModifiedBy>
  <cp:lastPrinted>2016-06-09T14:16:57Z</cp:lastPrinted>
  <dcterms:created xsi:type="dcterms:W3CDTF">2015-02-05T18:15:32Z</dcterms:created>
  <dcterms:modified xsi:type="dcterms:W3CDTF">2016-09-07T20:13:36Z</dcterms:modified>
</cp:coreProperties>
</file>