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reid\Documents\2014 Farm Bill\Articles &amp; Publications\"/>
    </mc:Choice>
  </mc:AlternateContent>
  <bookViews>
    <workbookView xWindow="0" yWindow="0" windowWidth="20460" windowHeight="7455"/>
  </bookViews>
  <sheets>
    <sheet name="PLC vs ARC payment" sheetId="34" r:id="rId1"/>
    <sheet name="Data" sheetId="40" r:id="rId2"/>
    <sheet name="Publication Calculations" sheetId="41" state="hidden" r:id="rId3"/>
  </sheets>
  <externalReferences>
    <externalReference r:id="rId4"/>
  </externalReferences>
  <definedNames>
    <definedName name="corn_cnty">#REF!</definedName>
    <definedName name="corn_irr">#REF!</definedName>
    <definedName name="corn_non">#REF!</definedName>
    <definedName name="corn_oa">#REF!</definedName>
    <definedName name="counties">#REF!</definedName>
    <definedName name="CountyYields">#REF!</definedName>
    <definedName name="gs_all">#REF!</definedName>
    <definedName name="gs_irr">#REF!</definedName>
    <definedName name="gs_non">#REF!</definedName>
    <definedName name="Irrigation">Data!$B$3:$B$5</definedName>
    <definedName name="_xlnm.Print_Area" localSheetId="0">'PLC vs ARC payment'!#REF!</definedName>
    <definedName name="q">[1]Sheet1!$F$1:$F$6</definedName>
    <definedName name="sb_all">#REF!</definedName>
    <definedName name="sb_irr">#REF!</definedName>
    <definedName name="sb_non">#REF!</definedName>
    <definedName name="SunCounties">Data!$A$3:$A$82</definedName>
    <definedName name="type">#REF!</definedName>
    <definedName name="wheat_all">#REF!</definedName>
    <definedName name="wheat_irr">#REF!</definedName>
    <definedName name="wheat_n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1" l="1"/>
  <c r="D16" i="41"/>
  <c r="D17" i="41" s="1"/>
  <c r="H15" i="41"/>
  <c r="H16" i="41" s="1"/>
  <c r="G15" i="41"/>
  <c r="G16" i="41" s="1"/>
  <c r="F15" i="41"/>
  <c r="F16" i="41" s="1"/>
  <c r="E15" i="41"/>
  <c r="E16" i="41" s="1"/>
  <c r="H7" i="41"/>
  <c r="H8" i="41" s="1"/>
  <c r="D7" i="41"/>
  <c r="D8" i="41" s="1"/>
  <c r="G6" i="41"/>
  <c r="G7" i="41" s="1"/>
  <c r="G8" i="41" s="1"/>
  <c r="F6" i="41"/>
  <c r="F7" i="41" s="1"/>
  <c r="F8" i="41" s="1"/>
  <c r="E6" i="41"/>
  <c r="E7" i="41" s="1"/>
  <c r="E8" i="41" s="1"/>
  <c r="A2" i="41"/>
  <c r="A3" i="41" s="1"/>
  <c r="G19" i="41" l="1"/>
  <c r="G17" i="41"/>
  <c r="H19" i="41"/>
  <c r="H17" i="41"/>
  <c r="E17" i="41"/>
  <c r="E19" i="41"/>
  <c r="F19" i="41"/>
  <c r="F17" i="41"/>
  <c r="J6" i="34" l="1"/>
  <c r="AE12" i="40"/>
  <c r="AE11" i="40"/>
  <c r="AE10" i="40"/>
  <c r="AE9" i="40"/>
  <c r="AE8" i="40"/>
  <c r="AE7" i="40"/>
  <c r="AE6" i="40"/>
  <c r="AE5" i="40"/>
  <c r="AE4" i="40"/>
  <c r="AE3" i="40"/>
  <c r="U12" i="40"/>
  <c r="U11" i="40"/>
  <c r="U10" i="40"/>
  <c r="U9" i="40"/>
  <c r="U8" i="40"/>
  <c r="U7" i="40"/>
  <c r="U6" i="40"/>
  <c r="U5" i="40"/>
  <c r="U4" i="40"/>
  <c r="U3" i="40"/>
  <c r="K72" i="40"/>
  <c r="K71" i="40"/>
  <c r="K70" i="40"/>
  <c r="K69" i="40"/>
  <c r="K68" i="40"/>
  <c r="K67" i="40"/>
  <c r="K66" i="40"/>
  <c r="K65" i="40"/>
  <c r="K64" i="40"/>
  <c r="K63" i="40"/>
  <c r="K62" i="40"/>
  <c r="K61" i="40"/>
  <c r="K60" i="40"/>
  <c r="K59" i="40"/>
  <c r="K58" i="40"/>
  <c r="K57" i="40"/>
  <c r="K56" i="40"/>
  <c r="K55" i="40"/>
  <c r="K54" i="40"/>
  <c r="K53" i="40"/>
  <c r="K52" i="40"/>
  <c r="K51" i="40"/>
  <c r="K50" i="40"/>
  <c r="K49" i="40"/>
  <c r="K48" i="40"/>
  <c r="K47" i="40"/>
  <c r="K46" i="40"/>
  <c r="K45" i="40"/>
  <c r="K44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K5" i="40"/>
  <c r="K4" i="40"/>
  <c r="K3" i="40"/>
  <c r="N6" i="34" l="1"/>
  <c r="M11" i="34" l="1"/>
  <c r="I8" i="34"/>
  <c r="B15" i="34" l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14" i="34" l="1"/>
  <c r="B13" i="34"/>
  <c r="D30" i="34" l="1"/>
  <c r="C25" i="34"/>
  <c r="C11" i="34"/>
  <c r="C21" i="34" s="1"/>
  <c r="C10" i="34"/>
  <c r="D13" i="34" l="1"/>
  <c r="D17" i="34"/>
  <c r="D16" i="34"/>
  <c r="D21" i="34"/>
  <c r="D20" i="34"/>
  <c r="D23" i="34"/>
  <c r="M10" i="34"/>
  <c r="D15" i="34"/>
  <c r="D29" i="34"/>
  <c r="D24" i="34"/>
  <c r="D26" i="34"/>
  <c r="D19" i="34"/>
  <c r="D27" i="34"/>
  <c r="D18" i="34"/>
  <c r="D28" i="34"/>
  <c r="D25" i="34"/>
  <c r="D14" i="34"/>
  <c r="D22" i="34"/>
  <c r="C18" i="34"/>
  <c r="C19" i="34"/>
  <c r="C22" i="34"/>
  <c r="C23" i="34"/>
  <c r="C14" i="34"/>
  <c r="C16" i="34"/>
  <c r="C24" i="34"/>
  <c r="C15" i="34"/>
  <c r="C28" i="34" s="1"/>
  <c r="C17" i="34"/>
  <c r="C20" i="34"/>
  <c r="C13" i="34"/>
  <c r="M23" i="34" l="1"/>
  <c r="M17" i="34"/>
  <c r="M14" i="34"/>
  <c r="M30" i="34"/>
  <c r="M20" i="34"/>
  <c r="M27" i="34"/>
  <c r="M24" i="34"/>
  <c r="M21" i="34"/>
  <c r="M18" i="34"/>
  <c r="M15" i="34"/>
  <c r="L11" i="34"/>
  <c r="K11" i="34" s="1"/>
  <c r="J11" i="34" s="1"/>
  <c r="I11" i="34" s="1"/>
  <c r="I17" i="34" s="1"/>
  <c r="M28" i="34"/>
  <c r="M22" i="34"/>
  <c r="N11" i="34"/>
  <c r="N30" i="34" s="1"/>
  <c r="M25" i="34"/>
  <c r="M19" i="34"/>
  <c r="M16" i="34"/>
  <c r="M13" i="34"/>
  <c r="M29" i="34"/>
  <c r="M26" i="34"/>
  <c r="O11" i="34"/>
  <c r="N14" i="34"/>
  <c r="N17" i="34"/>
  <c r="N15" i="34"/>
  <c r="N28" i="34" l="1"/>
  <c r="J26" i="34"/>
  <c r="L25" i="34"/>
  <c r="L27" i="34"/>
  <c r="K16" i="34"/>
  <c r="I29" i="34"/>
  <c r="K30" i="34"/>
  <c r="J20" i="34"/>
  <c r="H11" i="34"/>
  <c r="H28" i="34" s="1"/>
  <c r="I26" i="34"/>
  <c r="L18" i="34"/>
  <c r="I18" i="34"/>
  <c r="J22" i="34"/>
  <c r="K21" i="34"/>
  <c r="I16" i="34"/>
  <c r="I14" i="34"/>
  <c r="I13" i="34"/>
  <c r="K28" i="34"/>
  <c r="J23" i="34"/>
  <c r="K27" i="34"/>
  <c r="L16" i="34"/>
  <c r="K23" i="34"/>
  <c r="J27" i="34"/>
  <c r="L26" i="34"/>
  <c r="J21" i="34"/>
  <c r="K22" i="34"/>
  <c r="I28" i="34"/>
  <c r="L28" i="34"/>
  <c r="I27" i="34"/>
  <c r="K13" i="34"/>
  <c r="L23" i="34"/>
  <c r="I30" i="34"/>
  <c r="K24" i="34"/>
  <c r="L17" i="34"/>
  <c r="J14" i="34"/>
  <c r="L29" i="34"/>
  <c r="N13" i="34"/>
  <c r="K18" i="34"/>
  <c r="L14" i="34"/>
  <c r="N29" i="34"/>
  <c r="J18" i="34"/>
  <c r="I21" i="34"/>
  <c r="L24" i="34"/>
  <c r="J16" i="34"/>
  <c r="I19" i="34"/>
  <c r="K14" i="34"/>
  <c r="I22" i="34"/>
  <c r="J24" i="34"/>
  <c r="J30" i="34"/>
  <c r="L20" i="34"/>
  <c r="K25" i="34"/>
  <c r="K20" i="34"/>
  <c r="L22" i="34"/>
  <c r="I25" i="34"/>
  <c r="K29" i="34"/>
  <c r="K15" i="34"/>
  <c r="K19" i="34"/>
  <c r="L21" i="34"/>
  <c r="J17" i="34"/>
  <c r="L10" i="34"/>
  <c r="J13" i="34"/>
  <c r="J19" i="34"/>
  <c r="L15" i="34"/>
  <c r="J25" i="34"/>
  <c r="J29" i="34"/>
  <c r="J15" i="34"/>
  <c r="J28" i="34"/>
  <c r="I15" i="34"/>
  <c r="K26" i="34"/>
  <c r="I23" i="34"/>
  <c r="L13" i="34"/>
  <c r="K17" i="34"/>
  <c r="L19" i="34"/>
  <c r="I20" i="34"/>
  <c r="L30" i="34"/>
  <c r="I24" i="34"/>
  <c r="N10" i="34"/>
  <c r="N26" i="34"/>
  <c r="N18" i="34"/>
  <c r="N24" i="34"/>
  <c r="N20" i="34"/>
  <c r="N16" i="34"/>
  <c r="N22" i="34"/>
  <c r="N21" i="34"/>
  <c r="N19" i="34"/>
  <c r="O22" i="34"/>
  <c r="O24" i="34"/>
  <c r="O13" i="34"/>
  <c r="O19" i="34"/>
  <c r="O29" i="34"/>
  <c r="O26" i="34"/>
  <c r="O16" i="34"/>
  <c r="O25" i="34"/>
  <c r="O28" i="34"/>
  <c r="O23" i="34"/>
  <c r="O18" i="34"/>
  <c r="O21" i="34"/>
  <c r="O30" i="34"/>
  <c r="O17" i="34"/>
  <c r="O14" i="34"/>
  <c r="O20" i="34"/>
  <c r="O15" i="34"/>
  <c r="O27" i="34"/>
  <c r="O10" i="34"/>
  <c r="N25" i="34"/>
  <c r="N23" i="34"/>
  <c r="N27" i="34"/>
  <c r="K10" i="34"/>
  <c r="H27" i="34" l="1"/>
  <c r="H13" i="34"/>
  <c r="H20" i="34"/>
  <c r="H18" i="34"/>
  <c r="H21" i="34"/>
  <c r="H15" i="34"/>
  <c r="H29" i="34"/>
  <c r="H17" i="34"/>
  <c r="H22" i="34"/>
  <c r="H26" i="34"/>
  <c r="H25" i="34"/>
  <c r="H16" i="34"/>
  <c r="H19" i="34"/>
  <c r="H24" i="34"/>
  <c r="H23" i="34"/>
  <c r="H14" i="34"/>
  <c r="H30" i="34"/>
  <c r="J10" i="34"/>
  <c r="I10" i="34" l="1"/>
  <c r="G11" i="34" l="1"/>
  <c r="C27" i="34" s="1"/>
  <c r="H10" i="34"/>
  <c r="G25" i="34" l="1"/>
  <c r="F25" i="34"/>
  <c r="E25" i="34"/>
  <c r="F11" i="34"/>
  <c r="G10" i="34"/>
  <c r="C26" i="34" s="1"/>
  <c r="G13" i="34"/>
  <c r="C29" i="34" s="1"/>
  <c r="G15" i="34"/>
  <c r="G24" i="34"/>
  <c r="G21" i="34"/>
  <c r="G23" i="34"/>
  <c r="G14" i="34"/>
  <c r="G17" i="34"/>
  <c r="G18" i="34"/>
  <c r="G16" i="34"/>
  <c r="G22" i="34"/>
  <c r="G19" i="34"/>
  <c r="G20" i="34"/>
  <c r="G27" i="34" l="1"/>
  <c r="C30" i="34"/>
  <c r="G26" i="34"/>
  <c r="F10" i="34"/>
  <c r="F21" i="34"/>
  <c r="F18" i="34"/>
  <c r="E11" i="34"/>
  <c r="F14" i="34"/>
  <c r="F17" i="34"/>
  <c r="F22" i="34"/>
  <c r="F24" i="34"/>
  <c r="F16" i="34"/>
  <c r="F15" i="34"/>
  <c r="F20" i="34"/>
  <c r="F13" i="34"/>
  <c r="F26" i="34" s="1"/>
  <c r="F19" i="34"/>
  <c r="F23" i="34"/>
  <c r="F27" i="34" l="1"/>
  <c r="E21" i="34"/>
  <c r="E10" i="34"/>
  <c r="E23" i="34"/>
  <c r="E18" i="34"/>
  <c r="E24" i="34"/>
  <c r="E19" i="34"/>
  <c r="E14" i="34"/>
  <c r="E27" i="34" s="1"/>
  <c r="E22" i="34"/>
  <c r="E16" i="34"/>
  <c r="E17" i="34"/>
  <c r="E15" i="34"/>
  <c r="E13" i="34"/>
  <c r="E26" i="34" s="1"/>
  <c r="E20" i="34"/>
  <c r="E28" i="34" l="1"/>
  <c r="E29" i="34"/>
  <c r="G28" i="34"/>
  <c r="F28" i="34"/>
  <c r="G29" i="34" l="1"/>
  <c r="F29" i="34"/>
  <c r="G30" i="34" l="1"/>
  <c r="F30" i="34"/>
  <c r="E30" i="34"/>
</calcChain>
</file>

<file path=xl/sharedStrings.xml><?xml version="1.0" encoding="utf-8"?>
<sst xmlns="http://schemas.openxmlformats.org/spreadsheetml/2006/main" count="427" uniqueCount="129">
  <si>
    <t>ARC</t>
  </si>
  <si>
    <t>PLC</t>
  </si>
  <si>
    <t>Yield</t>
  </si>
  <si>
    <t>ARC-county</t>
  </si>
  <si>
    <t>5 Yr. Olympic Avg. County Yield</t>
  </si>
  <si>
    <t>5 Yr. Olympic Avg. MYA Price</t>
  </si>
  <si>
    <t>Benchmark Revenue</t>
  </si>
  <si>
    <t>Program Yield</t>
  </si>
  <si>
    <t xml:space="preserve">MYA Price </t>
  </si>
  <si>
    <t>ARC Payment</t>
  </si>
  <si>
    <t>PLC Payment</t>
  </si>
  <si>
    <t>Reference Price</t>
  </si>
  <si>
    <t>Barber</t>
  </si>
  <si>
    <t>Cheyenne</t>
  </si>
  <si>
    <t>Decatur</t>
  </si>
  <si>
    <t>Edwards</t>
  </si>
  <si>
    <t>Ellis</t>
  </si>
  <si>
    <t>Ellsworth</t>
  </si>
  <si>
    <t>Gove</t>
  </si>
  <si>
    <t>Graham</t>
  </si>
  <si>
    <t>Grant</t>
  </si>
  <si>
    <t>Harper</t>
  </si>
  <si>
    <t>Harvey</t>
  </si>
  <si>
    <t>Kingman</t>
  </si>
  <si>
    <t>Kiowa</t>
  </si>
  <si>
    <t>Norton</t>
  </si>
  <si>
    <t>Osborne</t>
  </si>
  <si>
    <t>Pawnee</t>
  </si>
  <si>
    <t>Pratt</t>
  </si>
  <si>
    <t>Rawlins</t>
  </si>
  <si>
    <t>Reno</t>
  </si>
  <si>
    <t>Scott</t>
  </si>
  <si>
    <t>Sedgwick</t>
  </si>
  <si>
    <t>Sherman</t>
  </si>
  <si>
    <t>Smith</t>
  </si>
  <si>
    <t>Stafford</t>
  </si>
  <si>
    <t>Stevens</t>
  </si>
  <si>
    <t>Sumner</t>
  </si>
  <si>
    <t>Thomas</t>
  </si>
  <si>
    <t>Wallace</t>
  </si>
  <si>
    <t>County:</t>
  </si>
  <si>
    <t>All</t>
  </si>
  <si>
    <t>Irrigated</t>
  </si>
  <si>
    <t>PROGRAM YEAR 2014 ARC-CO COUNTY YIELDS (UNIT PER ACRE), Crop Years 2009-2013 (higher of county average yield or 70% of T-yield)</t>
  </si>
  <si>
    <t>County Name</t>
  </si>
  <si>
    <t>Crop Name</t>
  </si>
  <si>
    <t>Yield Type</t>
  </si>
  <si>
    <t>Crop Year 2009</t>
  </si>
  <si>
    <t>Crop Year 2010</t>
  </si>
  <si>
    <t>Crop Year 2011</t>
  </si>
  <si>
    <t>Crop Year 2012</t>
  </si>
  <si>
    <t>Crop Year 2013</t>
  </si>
  <si>
    <t>Sunflower Seed</t>
  </si>
  <si>
    <t>NonIrrigated</t>
  </si>
  <si>
    <t>Olympic Average</t>
  </si>
  <si>
    <t>Irr. Type:</t>
  </si>
  <si>
    <t>Marketing Year</t>
  </si>
  <si>
    <t>2014/2015</t>
  </si>
  <si>
    <t>2015/2016</t>
  </si>
  <si>
    <t>2016/2017</t>
  </si>
  <si>
    <t>2017/2018</t>
  </si>
  <si>
    <t>2018/2019</t>
  </si>
  <si>
    <t>FAPRI estimates</t>
  </si>
  <si>
    <t>($/pound)</t>
  </si>
  <si>
    <r>
      <t xml:space="preserve">PLC Payment Rate </t>
    </r>
    <r>
      <rPr>
        <i/>
        <sz val="10"/>
        <color theme="1"/>
        <rFont val="Calibri"/>
        <family val="2"/>
        <scheme val="minor"/>
      </rPr>
      <t>($/pound)</t>
    </r>
  </si>
  <si>
    <t>PLC Payment Rate ($/pound)</t>
  </si>
  <si>
    <t>Payment per Acre assuming 1100 pound program yield</t>
  </si>
  <si>
    <t>Payment on 100 base acres * 85%</t>
  </si>
  <si>
    <t>2009/2010</t>
  </si>
  <si>
    <t>2010/2011</t>
  </si>
  <si>
    <t>2011/2012</t>
  </si>
  <si>
    <t>2012/2013</t>
  </si>
  <si>
    <t>2013/2014</t>
  </si>
  <si>
    <t xml:space="preserve">FAPRI estimates </t>
  </si>
  <si>
    <t>Benchmark Price</t>
  </si>
  <si>
    <t>Greeley</t>
  </si>
  <si>
    <t>Atchison</t>
  </si>
  <si>
    <t>Barton</t>
  </si>
  <si>
    <t>Brown</t>
  </si>
  <si>
    <t>Butler</t>
  </si>
  <si>
    <t>Clark</t>
  </si>
  <si>
    <t>Clay</t>
  </si>
  <si>
    <t>Cloud</t>
  </si>
  <si>
    <t>Comanche</t>
  </si>
  <si>
    <t>Cowley</t>
  </si>
  <si>
    <t>Dickinson</t>
  </si>
  <si>
    <t>Doniphan</t>
  </si>
  <si>
    <t>Ford</t>
  </si>
  <si>
    <t>Gray</t>
  </si>
  <si>
    <t>Hamilton</t>
  </si>
  <si>
    <t>Haskell</t>
  </si>
  <si>
    <t>Hodgeman</t>
  </si>
  <si>
    <t>Jackson</t>
  </si>
  <si>
    <t>Jefferson</t>
  </si>
  <si>
    <t>Jewell</t>
  </si>
  <si>
    <t>Kearny</t>
  </si>
  <si>
    <t>Lane</t>
  </si>
  <si>
    <t>Leavenworth</t>
  </si>
  <si>
    <t>Lincoln</t>
  </si>
  <si>
    <t>Mcpherson</t>
  </si>
  <si>
    <t>Marion</t>
  </si>
  <si>
    <t>Marshall</t>
  </si>
  <si>
    <t>Meade</t>
  </si>
  <si>
    <t>Mitchell</t>
  </si>
  <si>
    <t>Morris</t>
  </si>
  <si>
    <t>Morton</t>
  </si>
  <si>
    <t>Nemaha</t>
  </si>
  <si>
    <t>Ness</t>
  </si>
  <si>
    <t>Ottawa</t>
  </si>
  <si>
    <t>Phillips</t>
  </si>
  <si>
    <t>Pottawatomie</t>
  </si>
  <si>
    <t>Republic</t>
  </si>
  <si>
    <t>Rice</t>
  </si>
  <si>
    <t>Riley</t>
  </si>
  <si>
    <t>Rooks</t>
  </si>
  <si>
    <t>Rush</t>
  </si>
  <si>
    <t>Russell</t>
  </si>
  <si>
    <t>Saline</t>
  </si>
  <si>
    <t>Seward</t>
  </si>
  <si>
    <t>Trego</t>
  </si>
  <si>
    <t>Washington</t>
  </si>
  <si>
    <t>Wyandotte</t>
  </si>
  <si>
    <t>Types:</t>
  </si>
  <si>
    <t>Finney</t>
  </si>
  <si>
    <t>Logan</t>
  </si>
  <si>
    <t>Sheridan</t>
  </si>
  <si>
    <t>Stanton</t>
  </si>
  <si>
    <t>Wichita</t>
  </si>
  <si>
    <t>Sunflower Seed ARC-County vs. PLC Payments for 2014/15 Marketing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</si>
</sst>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164" formatCode="#,###%_);[Red]\(#,###%\)"/>
    <numFmt numFmtId="165" formatCode="0.0"/>
    <numFmt numFmtId="166" formatCode="#,##0.0"/>
    <numFmt numFmtId="167" formatCode="&quot;$&quot;#,##0.0000_);[Red]\(&quot;$&quot;#,##0.0000\)"/>
    <numFmt numFmtId="168" formatCode="0.0000"/>
    <numFmt numFmtId="169" formatCode="&quot;$&quot;#,##0.0000"/>
    <numFmt numFmtId="170" formatCode="&quot;$&quot;#,##0.00"/>
    <numFmt numFmtId="171" formatCode="#,##0.0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0" xfId="0" applyFont="1" applyBorder="1" applyProtection="1">
      <protection locked="0"/>
    </xf>
    <xf numFmtId="165" fontId="2" fillId="0" borderId="0" xfId="0" quotePrefix="1" applyNumberFormat="1" applyFont="1" applyBorder="1" applyAlignment="1" applyProtection="1">
      <alignment horizontal="right" inden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2" fillId="3" borderId="0" xfId="0" applyFont="1" applyFill="1" applyBorder="1" applyProtection="1">
      <protection locked="0"/>
    </xf>
    <xf numFmtId="165" fontId="2" fillId="3" borderId="0" xfId="0" applyNumberFormat="1" applyFont="1" applyFill="1" applyBorder="1" applyAlignment="1" applyProtection="1">
      <alignment horizontal="right" indent="1"/>
      <protection locked="0"/>
    </xf>
    <xf numFmtId="164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/>
    <xf numFmtId="8" fontId="1" fillId="0" borderId="0" xfId="0" applyNumberFormat="1" applyFont="1" applyBorder="1" applyAlignment="1" applyProtection="1"/>
    <xf numFmtId="8" fontId="1" fillId="5" borderId="0" xfId="0" applyNumberFormat="1" applyFont="1" applyFill="1" applyBorder="1" applyAlignment="1" applyProtection="1"/>
    <xf numFmtId="8" fontId="1" fillId="2" borderId="0" xfId="0" applyNumberFormat="1" applyFont="1" applyFill="1" applyBorder="1" applyAlignment="1" applyProtection="1"/>
    <xf numFmtId="8" fontId="1" fillId="4" borderId="0" xfId="0" applyNumberFormat="1" applyFont="1" applyFill="1" applyBorder="1" applyAlignment="1" applyProtection="1"/>
    <xf numFmtId="0" fontId="0" fillId="0" borderId="0" xfId="0" applyFont="1" applyBorder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centerContinuous"/>
    </xf>
    <xf numFmtId="0" fontId="0" fillId="0" borderId="1" xfId="0" applyFont="1" applyBorder="1" applyAlignment="1" applyProtection="1">
      <alignment horizontal="centerContinuous"/>
    </xf>
    <xf numFmtId="164" fontId="1" fillId="0" borderId="0" xfId="0" applyNumberFormat="1" applyFont="1" applyBorder="1" applyAlignment="1" applyProtection="1"/>
    <xf numFmtId="9" fontId="1" fillId="0" borderId="0" xfId="0" applyNumberFormat="1" applyFont="1" applyBorder="1" applyAlignment="1" applyProtection="1"/>
    <xf numFmtId="0" fontId="2" fillId="0" borderId="1" xfId="0" applyFont="1" applyBorder="1" applyAlignment="1" applyProtection="1"/>
    <xf numFmtId="9" fontId="2" fillId="0" borderId="1" xfId="0" applyNumberFormat="1" applyFont="1" applyBorder="1" applyAlignment="1" applyProtection="1">
      <alignment horizontal="center" wrapText="1"/>
    </xf>
    <xf numFmtId="8" fontId="0" fillId="0" borderId="0" xfId="0" applyNumberFormat="1" applyFont="1" applyBorder="1" applyProtection="1">
      <protection locked="0"/>
    </xf>
    <xf numFmtId="167" fontId="1" fillId="0" borderId="0" xfId="0" applyNumberFormat="1" applyFont="1" applyBorder="1" applyAlignment="1" applyProtection="1">
      <alignment horizontal="right"/>
    </xf>
    <xf numFmtId="167" fontId="1" fillId="0" borderId="0" xfId="0" applyNumberFormat="1" applyFont="1" applyBorder="1" applyAlignment="1" applyProtection="1">
      <alignment horizontal="center"/>
    </xf>
    <xf numFmtId="167" fontId="1" fillId="0" borderId="2" xfId="0" applyNumberFormat="1" applyFont="1" applyBorder="1" applyAlignment="1" applyProtection="1">
      <alignment horizontal="center"/>
    </xf>
    <xf numFmtId="0" fontId="6" fillId="6" borderId="3" xfId="1" applyFont="1" applyFill="1" applyBorder="1" applyAlignment="1">
      <alignment horizontal="left" wrapText="1"/>
    </xf>
    <xf numFmtId="0" fontId="6" fillId="6" borderId="3" xfId="1" applyFont="1" applyFill="1" applyBorder="1" applyAlignment="1">
      <alignment horizontal="center" wrapText="1"/>
    </xf>
    <xf numFmtId="166" fontId="6" fillId="6" borderId="3" xfId="1" applyNumberFormat="1" applyFont="1" applyFill="1" applyBorder="1" applyAlignment="1">
      <alignment horizontal="right" wrapText="1"/>
    </xf>
    <xf numFmtId="166" fontId="6" fillId="6" borderId="4" xfId="1" applyNumberFormat="1" applyFont="1" applyFill="1" applyBorder="1" applyAlignment="1">
      <alignment horizontal="right" wrapText="1"/>
    </xf>
    <xf numFmtId="8" fontId="1" fillId="0" borderId="0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ill="1"/>
    <xf numFmtId="0" fontId="5" fillId="0" borderId="5" xfId="0" applyFont="1" applyFill="1" applyBorder="1" applyAlignment="1"/>
    <xf numFmtId="167" fontId="0" fillId="0" borderId="0" xfId="0" applyNumberFormat="1" applyFont="1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8" fontId="0" fillId="0" borderId="0" xfId="0" applyNumberFormat="1" applyFont="1" applyBorder="1" applyProtection="1">
      <protection locked="0"/>
    </xf>
    <xf numFmtId="169" fontId="0" fillId="0" borderId="10" xfId="0" applyNumberFormat="1" applyBorder="1" applyAlignment="1">
      <alignment horizontal="center" vertical="center" wrapText="1"/>
    </xf>
    <xf numFmtId="170" fontId="0" fillId="0" borderId="0" xfId="0" applyNumberFormat="1" applyFont="1" applyBorder="1" applyAlignment="1" applyProtection="1">
      <alignment horizontal="center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171" fontId="0" fillId="0" borderId="15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171" fontId="0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9" fontId="1" fillId="0" borderId="0" xfId="0" applyNumberFormat="1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1" fontId="2" fillId="0" borderId="1" xfId="0" quotePrefix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8" fontId="1" fillId="0" borderId="0" xfId="0" applyNumberFormat="1" applyFont="1" applyBorder="1" applyAlignment="1" applyProtection="1">
      <alignment horizontal="right"/>
    </xf>
    <xf numFmtId="0" fontId="5" fillId="6" borderId="5" xfId="0" applyFont="1" applyFill="1" applyBorder="1" applyAlignment="1">
      <alignment horizontal="center"/>
    </xf>
    <xf numFmtId="169" fontId="0" fillId="0" borderId="11" xfId="0" applyNumberFormat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0" xfId="0" applyAlignment="1" applyProtection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FFCC"/>
      <color rgb="FF5E913B"/>
      <color rgb="FF336600"/>
      <color rgb="FF000066"/>
      <color rgb="FF660066"/>
      <color rgb="FF003300"/>
      <color rgb="FFA5002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kel%20Taylor/Documents/Extension/FARM%20BILL%202014/data/drop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F1">
            <v>1</v>
          </cell>
        </row>
        <row r="2">
          <cell r="F2">
            <v>2</v>
          </cell>
        </row>
        <row r="3">
          <cell r="F3">
            <v>3</v>
          </cell>
        </row>
        <row r="4">
          <cell r="F4">
            <v>4</v>
          </cell>
        </row>
        <row r="5">
          <cell r="F5">
            <v>5</v>
          </cell>
        </row>
        <row r="6">
          <cell r="F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zoomScaleNormal="100" workbookViewId="0">
      <selection activeCell="Q6" sqref="Q6"/>
    </sheetView>
  </sheetViews>
  <sheetFormatPr defaultRowHeight="15" x14ac:dyDescent="0.25"/>
  <cols>
    <col min="1" max="1" width="9" style="1" customWidth="1"/>
    <col min="2" max="2" width="13.42578125" style="1" customWidth="1"/>
    <col min="3" max="3" width="0.7109375" style="1" customWidth="1"/>
    <col min="4" max="4" width="13" style="1" customWidth="1"/>
    <col min="5" max="6" width="11.5703125" style="1" hidden="1" customWidth="1"/>
    <col min="7" max="7" width="0.7109375" style="1" customWidth="1"/>
    <col min="8" max="8" width="11.5703125" style="1" customWidth="1"/>
    <col min="9" max="12" width="11.5703125" style="1" bestFit="1" customWidth="1"/>
    <col min="13" max="13" width="12.140625" style="1" bestFit="1" customWidth="1"/>
    <col min="14" max="15" width="11.5703125" style="1" bestFit="1" customWidth="1"/>
    <col min="16" max="16" width="9.140625" style="1"/>
    <col min="17" max="17" width="13.42578125" style="1" customWidth="1"/>
    <col min="18" max="18" width="5.42578125" style="1" customWidth="1"/>
    <col min="19" max="19" width="13" style="1" customWidth="1"/>
    <col min="20" max="20" width="12.28515625" style="1" customWidth="1"/>
    <col min="21" max="21" width="15.42578125" style="1" customWidth="1"/>
    <col min="22" max="22" width="12.7109375" style="1" customWidth="1"/>
    <col min="23" max="23" width="17" style="1" customWidth="1"/>
    <col min="24" max="27" width="11.5703125" style="1" bestFit="1" customWidth="1"/>
    <col min="28" max="28" width="12.140625" style="1" bestFit="1" customWidth="1"/>
    <col min="29" max="30" width="11.5703125" style="1" bestFit="1" customWidth="1"/>
    <col min="31" max="31" width="9.140625" style="1"/>
    <col min="32" max="32" width="13.42578125" style="1" customWidth="1"/>
    <col min="33" max="33" width="0.7109375" style="1" customWidth="1"/>
    <col min="34" max="34" width="13" style="1" customWidth="1"/>
    <col min="35" max="36" width="11.5703125" style="1" hidden="1" customWidth="1"/>
    <col min="37" max="37" width="0.7109375" style="1" customWidth="1"/>
    <col min="38" max="38" width="11.5703125" style="1" customWidth="1"/>
    <col min="39" max="42" width="11.5703125" style="1" bestFit="1" customWidth="1"/>
    <col min="43" max="43" width="12.140625" style="1" bestFit="1" customWidth="1"/>
    <col min="44" max="45" width="11.5703125" style="1" bestFit="1" customWidth="1"/>
    <col min="46" max="46" width="9.140625" style="1"/>
    <col min="47" max="47" width="13.42578125" style="1" customWidth="1"/>
    <col min="48" max="48" width="0.7109375" style="1" customWidth="1"/>
    <col min="49" max="49" width="13" style="1" customWidth="1"/>
    <col min="50" max="51" width="11.5703125" style="1" hidden="1" customWidth="1"/>
    <col min="52" max="52" width="0.7109375" style="1" customWidth="1"/>
    <col min="53" max="53" width="11.5703125" style="1" customWidth="1"/>
    <col min="54" max="57" width="11.5703125" style="1" bestFit="1" customWidth="1"/>
    <col min="58" max="58" width="12.140625" style="1" bestFit="1" customWidth="1"/>
    <col min="59" max="60" width="11.5703125" style="1" bestFit="1" customWidth="1"/>
    <col min="61" max="16384" width="9.140625" style="1"/>
  </cols>
  <sheetData>
    <row r="1" spans="1:16" ht="18.75" x14ac:dyDescent="0.3">
      <c r="J1" s="2"/>
    </row>
    <row r="3" spans="1:16" ht="23.45" customHeight="1" x14ac:dyDescent="0.3">
      <c r="B3" s="64" t="s">
        <v>128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31.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3"/>
      <c r="O4" s="13"/>
    </row>
    <row r="5" spans="1:16" ht="18.75" x14ac:dyDescent="0.3">
      <c r="B5" s="65" t="s">
        <v>40</v>
      </c>
      <c r="C5" s="13"/>
      <c r="D5" s="4" t="s">
        <v>18</v>
      </c>
      <c r="E5" s="13"/>
      <c r="F5" s="13"/>
      <c r="G5" s="13"/>
      <c r="H5" s="65" t="s">
        <v>55</v>
      </c>
      <c r="I5" s="4" t="s">
        <v>41</v>
      </c>
      <c r="J5" s="66" t="s">
        <v>0</v>
      </c>
      <c r="K5" s="13"/>
      <c r="L5" s="13"/>
      <c r="M5" s="13"/>
      <c r="N5" s="66" t="s">
        <v>1</v>
      </c>
      <c r="O5" s="13"/>
    </row>
    <row r="6" spans="1:16" ht="18.75" x14ac:dyDescent="0.3">
      <c r="B6" s="14" t="s">
        <v>4</v>
      </c>
      <c r="C6" s="13"/>
      <c r="D6" s="13"/>
      <c r="E6" s="13"/>
      <c r="F6" s="13"/>
      <c r="G6" s="13"/>
      <c r="H6" s="13"/>
      <c r="I6" s="13"/>
      <c r="J6" s="67">
        <f>ROUND(IF(I5="All", VLOOKUP(D5,Data!C3:K72,9,FALSE),(IF(I5= "Irrigated", VLOOKUP(D5,Data!M3:U12,9,FALSE),IF(I5="NonIrrigated", VLOOKUP(D5,Data!W3:AE12,9,FALSE))))),1)</f>
        <v>1200.7</v>
      </c>
      <c r="K6" s="13"/>
      <c r="L6" s="14" t="s">
        <v>7</v>
      </c>
      <c r="M6" s="13"/>
      <c r="N6" s="5">
        <f>J6</f>
        <v>1200.7</v>
      </c>
      <c r="O6" s="13"/>
    </row>
    <row r="7" spans="1:16" ht="18.75" x14ac:dyDescent="0.3">
      <c r="B7" s="14" t="s">
        <v>5</v>
      </c>
      <c r="C7" s="13"/>
      <c r="D7" s="13"/>
      <c r="E7" s="13"/>
      <c r="F7" s="13"/>
      <c r="G7" s="13"/>
      <c r="H7" s="13"/>
      <c r="I7" s="13"/>
      <c r="J7" s="22">
        <v>0.23</v>
      </c>
      <c r="K7" s="13"/>
      <c r="L7" s="14" t="s">
        <v>11</v>
      </c>
      <c r="M7" s="13"/>
      <c r="N7" s="22">
        <v>0.20150000000000001</v>
      </c>
      <c r="O7" s="13"/>
    </row>
    <row r="8" spans="1:16" ht="18.75" x14ac:dyDescent="0.3">
      <c r="B8" s="14" t="s">
        <v>6</v>
      </c>
      <c r="C8" s="13"/>
      <c r="D8" s="13"/>
      <c r="E8" s="13"/>
      <c r="F8" s="13"/>
      <c r="G8" s="13"/>
      <c r="H8" s="13"/>
      <c r="I8" s="60">
        <f>ROUND(J6*J7,2)</f>
        <v>276.16000000000003</v>
      </c>
      <c r="J8" s="68"/>
      <c r="K8" s="13"/>
      <c r="L8" s="14"/>
      <c r="M8" s="13"/>
      <c r="N8" s="9"/>
      <c r="O8" s="13"/>
    </row>
    <row r="9" spans="1:16" ht="21" customHeight="1" x14ac:dyDescent="0.3">
      <c r="A9" s="54"/>
      <c r="B9" s="56"/>
      <c r="C9" s="13"/>
      <c r="D9" s="14"/>
      <c r="E9" s="14" t="s">
        <v>3</v>
      </c>
      <c r="F9" s="13"/>
      <c r="G9" s="13"/>
      <c r="H9" s="15" t="s">
        <v>2</v>
      </c>
      <c r="I9" s="16"/>
      <c r="J9" s="16"/>
      <c r="K9" s="16"/>
      <c r="L9" s="16"/>
      <c r="M9" s="16"/>
      <c r="N9" s="16"/>
      <c r="O9" s="16"/>
      <c r="P9" s="13"/>
    </row>
    <row r="10" spans="1:16" ht="21" hidden="1" customHeight="1" x14ac:dyDescent="0.3">
      <c r="A10" s="55"/>
      <c r="B10" s="57"/>
      <c r="C10" s="17" t="e">
        <f>((F6-C11)/F6)*-1</f>
        <v>#DIV/0!</v>
      </c>
      <c r="D10" s="18"/>
      <c r="E10" s="17" t="e">
        <f>((J1-E11)/J1)*-1</f>
        <v>#DIV/0!</v>
      </c>
      <c r="F10" s="17" t="e">
        <f>((J1-F11)/J1)*-1</f>
        <v>#DIV/0!</v>
      </c>
      <c r="G10" s="17" t="e">
        <f>((J1-G11)/J1)*-1</f>
        <v>#DIV/0!</v>
      </c>
      <c r="H10" s="17" t="e">
        <f>((J1-H11)/J1)*-1</f>
        <v>#DIV/0!</v>
      </c>
      <c r="I10" s="17" t="e">
        <f>((J1-I11)/J1)*-1</f>
        <v>#DIV/0!</v>
      </c>
      <c r="J10" s="17" t="e">
        <f>((J1-J11)/J1)*-1</f>
        <v>#DIV/0!</v>
      </c>
      <c r="K10" s="17" t="e">
        <f>((J1-K11)/J1)*-1</f>
        <v>#DIV/0!</v>
      </c>
      <c r="L10" s="17" t="e">
        <f>((J1-L11)/J1)*-1</f>
        <v>#DIV/0!</v>
      </c>
      <c r="M10" s="17" t="e">
        <f>((J1-M11)/J1)*-1</f>
        <v>#DIV/0!</v>
      </c>
      <c r="N10" s="17" t="e">
        <f>((J1-N11)/J1)*-1</f>
        <v>#DIV/0!</v>
      </c>
      <c r="O10" s="17" t="e">
        <f>((J1-O11)/J1)*-1</f>
        <v>#DIV/0!</v>
      </c>
      <c r="P10" s="13"/>
    </row>
    <row r="11" spans="1:16" ht="18.75" x14ac:dyDescent="0.3">
      <c r="A11" s="55"/>
      <c r="B11" s="57"/>
      <c r="C11" s="8">
        <f t="shared" ref="C11:G11" si="0">D11*0.9</f>
        <v>0</v>
      </c>
      <c r="D11" s="18"/>
      <c r="E11" s="8">
        <f t="shared" si="0"/>
        <v>516.8610000000001</v>
      </c>
      <c r="F11" s="8">
        <f t="shared" si="0"/>
        <v>574.29000000000008</v>
      </c>
      <c r="G11" s="8">
        <f t="shared" si="0"/>
        <v>638.1</v>
      </c>
      <c r="H11" s="7">
        <f>ROUND(I11*0.9,0)</f>
        <v>709</v>
      </c>
      <c r="I11" s="7">
        <f>ROUND(J11*0.9,0)</f>
        <v>788</v>
      </c>
      <c r="J11" s="7">
        <f>ROUND(K11*0.9,0)</f>
        <v>876</v>
      </c>
      <c r="K11" s="7">
        <f>ROUND(L11*0.9,0)</f>
        <v>973</v>
      </c>
      <c r="L11" s="7">
        <f>ROUND(M11*0.9,0)</f>
        <v>1081</v>
      </c>
      <c r="M11" s="8">
        <f>ROUND(J6,0)</f>
        <v>1201</v>
      </c>
      <c r="N11" s="7">
        <f>ROUND(M11*1.1,0)</f>
        <v>1321</v>
      </c>
      <c r="O11" s="7">
        <f>ROUND(M11*1.2,0)</f>
        <v>1441</v>
      </c>
      <c r="P11" s="13"/>
    </row>
    <row r="12" spans="1:16" ht="37.5" x14ac:dyDescent="0.3">
      <c r="A12" s="3"/>
      <c r="B12" s="19" t="s">
        <v>8</v>
      </c>
      <c r="C12" s="8"/>
      <c r="D12" s="20" t="s">
        <v>10</v>
      </c>
      <c r="E12" s="8"/>
      <c r="F12" s="8"/>
      <c r="G12" s="8"/>
      <c r="H12" s="58" t="s">
        <v>9</v>
      </c>
      <c r="I12" s="59"/>
      <c r="J12" s="59"/>
      <c r="K12" s="59"/>
      <c r="L12" s="59"/>
      <c r="M12" s="59"/>
      <c r="N12" s="59"/>
      <c r="O12" s="59"/>
      <c r="P12" s="13"/>
    </row>
    <row r="13" spans="1:16" ht="18.75" x14ac:dyDescent="0.3">
      <c r="A13" s="6"/>
      <c r="B13" s="23">
        <f>ROUND((B15*1.1),4)</f>
        <v>0.253</v>
      </c>
      <c r="C13" s="9" t="e">
        <f>MAX(MIN(F8*0.1,(F8-(C11*#REF!))),0)</f>
        <v>#REF!</v>
      </c>
      <c r="D13" s="9">
        <f t="shared" ref="D13:D30" si="1">ROUND(MAX($N$7-B13,0)*$N$6,2)</f>
        <v>0</v>
      </c>
      <c r="E13" s="9">
        <f>MAX(MIN(I8*0.1,(I8-(E11*B13))),0)</f>
        <v>27.616000000000003</v>
      </c>
      <c r="F13" s="9">
        <f>MAX(MIN(I8*0.1,(I8-(F11*B13))),0)</f>
        <v>27.616000000000003</v>
      </c>
      <c r="G13" s="9">
        <f>MAX(MIN(I8*0.1,(I8-(G11*B13))),0)</f>
        <v>27.616000000000003</v>
      </c>
      <c r="H13" s="10">
        <f t="shared" ref="H13:O22" si="2">MAX(MIN(ROUND($I$8*0.1,2),((ROUND(0.86*$I$8,2))-(ROUND(H$11*$B13,2)))),0)</f>
        <v>27.62</v>
      </c>
      <c r="I13" s="10">
        <f t="shared" si="2"/>
        <v>27.62</v>
      </c>
      <c r="J13" s="10">
        <f t="shared" si="2"/>
        <v>15.870000000000005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>
        <f t="shared" si="2"/>
        <v>0</v>
      </c>
      <c r="P13" s="9"/>
    </row>
    <row r="14" spans="1:16" ht="18.75" x14ac:dyDescent="0.3">
      <c r="A14" s="6"/>
      <c r="B14" s="23">
        <f>B15*1.05</f>
        <v>0.24150000000000002</v>
      </c>
      <c r="C14" s="9" t="e">
        <f>MAX(MIN(F8*0.1,(F8-(C11*#REF!))),0)</f>
        <v>#REF!</v>
      </c>
      <c r="D14" s="9">
        <f t="shared" si="1"/>
        <v>0</v>
      </c>
      <c r="E14" s="9">
        <f>MAX(MIN(I8*0.1,(I8-(E11*B14))),0)</f>
        <v>27.616000000000003</v>
      </c>
      <c r="F14" s="9">
        <f>MAX(MIN(I8*0.1,(I8-(F11*B14))),0)</f>
        <v>27.616000000000003</v>
      </c>
      <c r="G14" s="9">
        <f>MAX(MIN(I8*0.1,(I8-(G11*B14))),0)</f>
        <v>27.616000000000003</v>
      </c>
      <c r="H14" s="10">
        <f t="shared" si="2"/>
        <v>27.62</v>
      </c>
      <c r="I14" s="10">
        <f t="shared" si="2"/>
        <v>27.62</v>
      </c>
      <c r="J14" s="10">
        <f t="shared" si="2"/>
        <v>25.949999999999989</v>
      </c>
      <c r="K14" s="10">
        <f t="shared" si="2"/>
        <v>2.5200000000000102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9"/>
    </row>
    <row r="15" spans="1:16" ht="18.75" x14ac:dyDescent="0.3">
      <c r="A15" s="6"/>
      <c r="B15" s="23">
        <f>J7</f>
        <v>0.23</v>
      </c>
      <c r="C15" s="9" t="e">
        <f>MAX(MIN(F8*0.1,(F8-(C11*#REF!))),0)</f>
        <v>#REF!</v>
      </c>
      <c r="D15" s="9">
        <f t="shared" si="1"/>
        <v>0</v>
      </c>
      <c r="E15" s="9">
        <f>MAX(MIN(I8*0.1,(I8-(E11*B15))),0)</f>
        <v>27.616000000000003</v>
      </c>
      <c r="F15" s="9">
        <f>MAX(MIN(I8*0.1,(I8-(F11*B15))),0)</f>
        <v>27.616000000000003</v>
      </c>
      <c r="G15" s="9">
        <f>MAX(MIN(I8*0.1,(I8-(G11*B15))),0)</f>
        <v>27.616000000000003</v>
      </c>
      <c r="H15" s="10">
        <f t="shared" si="2"/>
        <v>27.62</v>
      </c>
      <c r="I15" s="10">
        <f t="shared" si="2"/>
        <v>27.62</v>
      </c>
      <c r="J15" s="10">
        <f t="shared" si="2"/>
        <v>27.62</v>
      </c>
      <c r="K15" s="10">
        <f t="shared" si="2"/>
        <v>13.710000000000008</v>
      </c>
      <c r="L15" s="11">
        <f t="shared" si="2"/>
        <v>0</v>
      </c>
      <c r="M15" s="11">
        <f t="shared" si="2"/>
        <v>0</v>
      </c>
      <c r="N15" s="11">
        <f t="shared" si="2"/>
        <v>0</v>
      </c>
      <c r="O15" s="11">
        <f t="shared" si="2"/>
        <v>0</v>
      </c>
      <c r="P15" s="9"/>
    </row>
    <row r="16" spans="1:16" ht="18.75" x14ac:dyDescent="0.3">
      <c r="A16" s="6"/>
      <c r="B16" s="23">
        <f>ROUND((B15*0.99),4)</f>
        <v>0.22770000000000001</v>
      </c>
      <c r="C16" s="9" t="e">
        <f>MAX(MIN(F8*0.1,(F8-(C11*#REF!))),0)</f>
        <v>#REF!</v>
      </c>
      <c r="D16" s="9">
        <f t="shared" si="1"/>
        <v>0</v>
      </c>
      <c r="E16" s="9">
        <f>MAX(MIN(I8*0.1,(I8-(E11*B16))),0)</f>
        <v>27.616000000000003</v>
      </c>
      <c r="F16" s="9">
        <f>MAX(MIN(I8*0.1,(I8-(F11*B16))),0)</f>
        <v>27.616000000000003</v>
      </c>
      <c r="G16" s="9">
        <f>MAX(MIN(I8*0.1,(I8-(G11*B16))),0)</f>
        <v>27.616000000000003</v>
      </c>
      <c r="H16" s="10">
        <f t="shared" si="2"/>
        <v>27.62</v>
      </c>
      <c r="I16" s="10">
        <f t="shared" si="2"/>
        <v>27.62</v>
      </c>
      <c r="J16" s="10">
        <f t="shared" si="2"/>
        <v>27.62</v>
      </c>
      <c r="K16" s="10">
        <f t="shared" si="2"/>
        <v>15.949999999999989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9"/>
    </row>
    <row r="17" spans="1:16" ht="18.75" x14ac:dyDescent="0.3">
      <c r="A17" s="6"/>
      <c r="B17" s="23">
        <f t="shared" ref="B17:B30" si="3">ROUND((B16*0.98),4)</f>
        <v>0.22309999999999999</v>
      </c>
      <c r="C17" s="9" t="e">
        <f>MAX(MIN(F8*0.1,(F8-(C11*#REF!))),0)</f>
        <v>#REF!</v>
      </c>
      <c r="D17" s="9">
        <f t="shared" si="1"/>
        <v>0</v>
      </c>
      <c r="E17" s="9">
        <f>MAX(MIN(I8*0.1,(I8-(E11*B17))),0)</f>
        <v>27.616000000000003</v>
      </c>
      <c r="F17" s="9">
        <f>MAX(MIN(I8*0.1,(I8-(F11*B17))),0)</f>
        <v>27.616000000000003</v>
      </c>
      <c r="G17" s="9">
        <f>MAX(MIN(I8*0.1,(I8-(G11*B17))),0)</f>
        <v>27.616000000000003</v>
      </c>
      <c r="H17" s="10">
        <f t="shared" si="2"/>
        <v>27.62</v>
      </c>
      <c r="I17" s="10">
        <f t="shared" si="2"/>
        <v>27.62</v>
      </c>
      <c r="J17" s="10">
        <f t="shared" si="2"/>
        <v>27.62</v>
      </c>
      <c r="K17" s="10">
        <f t="shared" si="2"/>
        <v>20.419999999999987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7"/>
    </row>
    <row r="18" spans="1:16" ht="18.75" x14ac:dyDescent="0.3">
      <c r="A18" s="6"/>
      <c r="B18" s="23">
        <f t="shared" si="3"/>
        <v>0.21859999999999999</v>
      </c>
      <c r="C18" s="9" t="e">
        <f>MAX(MIN(F8*0.1,(F8-(C11*#REF!))),0)</f>
        <v>#REF!</v>
      </c>
      <c r="D18" s="29">
        <f t="shared" si="1"/>
        <v>0</v>
      </c>
      <c r="E18" s="9">
        <f>MAX(MIN(I8*0.1,(I8-(E11*B18))),0)</f>
        <v>27.616000000000003</v>
      </c>
      <c r="F18" s="9">
        <f>MAX(MIN(I8*0.1,(I8-(F11*B18))),0)</f>
        <v>27.616000000000003</v>
      </c>
      <c r="G18" s="9">
        <f>MAX(MIN(I8*0.1,(I8-(G11*B18))),0)</f>
        <v>27.616000000000003</v>
      </c>
      <c r="H18" s="10">
        <f t="shared" si="2"/>
        <v>27.62</v>
      </c>
      <c r="I18" s="10">
        <f t="shared" si="2"/>
        <v>27.62</v>
      </c>
      <c r="J18" s="10">
        <f t="shared" si="2"/>
        <v>27.62</v>
      </c>
      <c r="K18" s="10">
        <f t="shared" si="2"/>
        <v>24.800000000000011</v>
      </c>
      <c r="L18" s="10">
        <f t="shared" si="2"/>
        <v>1.1899999999999977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9"/>
    </row>
    <row r="19" spans="1:16" ht="18.75" x14ac:dyDescent="0.3">
      <c r="A19" s="6"/>
      <c r="B19" s="23">
        <f t="shared" si="3"/>
        <v>0.2142</v>
      </c>
      <c r="C19" s="9" t="e">
        <f>MAX(MIN(F8*0.1,(F8-(C11*#REF!))),0)</f>
        <v>#REF!</v>
      </c>
      <c r="D19" s="29">
        <f t="shared" si="1"/>
        <v>0</v>
      </c>
      <c r="E19" s="9">
        <f>MAX(MIN(I8*0.1,(I8-(E11*B19))),0)</f>
        <v>27.616000000000003</v>
      </c>
      <c r="F19" s="9">
        <f>MAX(MIN(I8*0.1,(I8-(F11*B19))),0)</f>
        <v>27.616000000000003</v>
      </c>
      <c r="G19" s="9">
        <f>MAX(MIN(I8*0.1,(I8-(G11*B19))),0)</f>
        <v>27.616000000000003</v>
      </c>
      <c r="H19" s="10">
        <f t="shared" si="2"/>
        <v>27.62</v>
      </c>
      <c r="I19" s="10">
        <f t="shared" si="2"/>
        <v>27.62</v>
      </c>
      <c r="J19" s="10">
        <f t="shared" si="2"/>
        <v>27.62</v>
      </c>
      <c r="K19" s="10">
        <f t="shared" si="2"/>
        <v>27.62</v>
      </c>
      <c r="L19" s="10">
        <f t="shared" si="2"/>
        <v>5.9499999999999886</v>
      </c>
      <c r="M19" s="11">
        <f t="shared" si="2"/>
        <v>0</v>
      </c>
      <c r="N19" s="11">
        <f t="shared" si="2"/>
        <v>0</v>
      </c>
      <c r="O19" s="11">
        <f t="shared" si="2"/>
        <v>0</v>
      </c>
      <c r="P19" s="9"/>
    </row>
    <row r="20" spans="1:16" ht="20.25" customHeight="1" x14ac:dyDescent="0.3">
      <c r="A20" s="6"/>
      <c r="B20" s="23">
        <f t="shared" si="3"/>
        <v>0.2099</v>
      </c>
      <c r="C20" s="9" t="e">
        <f>MAX(MIN(F8*0.1,(F8-(C11*#REF!))),0)</f>
        <v>#REF!</v>
      </c>
      <c r="D20" s="29">
        <f t="shared" si="1"/>
        <v>0</v>
      </c>
      <c r="E20" s="9">
        <f>MAX(MIN(I8*0.1,(I8-(E11*B20))),0)</f>
        <v>27.616000000000003</v>
      </c>
      <c r="F20" s="9">
        <f>MAX(MIN(I8*0.1,(I8-(F11*B20))),0)</f>
        <v>27.616000000000003</v>
      </c>
      <c r="G20" s="9">
        <f>MAX(MIN(I8*0.1,(I8-(G11*B20))),0)</f>
        <v>27.616000000000003</v>
      </c>
      <c r="H20" s="10">
        <f t="shared" si="2"/>
        <v>27.62</v>
      </c>
      <c r="I20" s="10">
        <f t="shared" si="2"/>
        <v>27.62</v>
      </c>
      <c r="J20" s="10">
        <f t="shared" si="2"/>
        <v>27.62</v>
      </c>
      <c r="K20" s="10">
        <f t="shared" si="2"/>
        <v>27.62</v>
      </c>
      <c r="L20" s="10">
        <f t="shared" si="2"/>
        <v>10.599999999999994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9"/>
    </row>
    <row r="21" spans="1:16" ht="18.75" x14ac:dyDescent="0.3">
      <c r="A21" s="6"/>
      <c r="B21" s="23">
        <f t="shared" si="3"/>
        <v>0.20569999999999999</v>
      </c>
      <c r="C21" s="9" t="e">
        <f>MAX(MIN(F8*0.1,(F8-(C11*#REF!))),0)</f>
        <v>#REF!</v>
      </c>
      <c r="D21" s="29">
        <f t="shared" si="1"/>
        <v>0</v>
      </c>
      <c r="E21" s="9">
        <f>MAX(MIN(I8*0.1,(I8-(E11*B21))),0)</f>
        <v>27.616000000000003</v>
      </c>
      <c r="F21" s="9">
        <f>MAX(MIN(I8*0.1,(I8-(F11*B21))),0)</f>
        <v>27.616000000000003</v>
      </c>
      <c r="G21" s="9">
        <f>MAX(MIN(I8*0.1,(I8-(G11*B21))),0)</f>
        <v>27.616000000000003</v>
      </c>
      <c r="H21" s="10">
        <f t="shared" si="2"/>
        <v>27.62</v>
      </c>
      <c r="I21" s="10">
        <f t="shared" si="2"/>
        <v>27.62</v>
      </c>
      <c r="J21" s="10">
        <f t="shared" si="2"/>
        <v>27.62</v>
      </c>
      <c r="K21" s="10">
        <f t="shared" si="2"/>
        <v>27.62</v>
      </c>
      <c r="L21" s="10">
        <f t="shared" si="2"/>
        <v>15.139999999999986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9"/>
    </row>
    <row r="22" spans="1:16" ht="19.5" thickBot="1" x14ac:dyDescent="0.35">
      <c r="A22" s="6"/>
      <c r="B22" s="24">
        <f t="shared" si="3"/>
        <v>0.2016</v>
      </c>
      <c r="C22" s="9" t="e">
        <f>MAX(MIN(F8*0.1,(F8-(C11*#REF!))),0)</f>
        <v>#REF!</v>
      </c>
      <c r="D22" s="29">
        <f t="shared" si="1"/>
        <v>0</v>
      </c>
      <c r="E22" s="9">
        <f>MAX(MIN(I8*0.1,(I8-(E11*B22))),0)</f>
        <v>27.616000000000003</v>
      </c>
      <c r="F22" s="9">
        <f>MAX(MIN(I8*0.1,(I8-(F11*B22))),0)</f>
        <v>27.616000000000003</v>
      </c>
      <c r="G22" s="9">
        <f>MAX(MIN(I8*0.1,(I8-(G11*B22))),0)</f>
        <v>27.616000000000003</v>
      </c>
      <c r="H22" s="10">
        <f t="shared" si="2"/>
        <v>27.62</v>
      </c>
      <c r="I22" s="10">
        <f t="shared" si="2"/>
        <v>27.62</v>
      </c>
      <c r="J22" s="10">
        <f t="shared" si="2"/>
        <v>27.62</v>
      </c>
      <c r="K22" s="10">
        <f t="shared" si="2"/>
        <v>27.62</v>
      </c>
      <c r="L22" s="10">
        <f t="shared" si="2"/>
        <v>19.569999999999993</v>
      </c>
      <c r="M22" s="11">
        <f t="shared" si="2"/>
        <v>0</v>
      </c>
      <c r="N22" s="11">
        <f t="shared" si="2"/>
        <v>0</v>
      </c>
      <c r="O22" s="11">
        <f t="shared" si="2"/>
        <v>0</v>
      </c>
      <c r="P22" s="9"/>
    </row>
    <row r="23" spans="1:16" ht="18.75" x14ac:dyDescent="0.3">
      <c r="A23" s="6"/>
      <c r="B23" s="23">
        <f t="shared" si="3"/>
        <v>0.1976</v>
      </c>
      <c r="C23" s="9" t="e">
        <f>MAX(MIN(F8*0.1,(F8-(C11*#REF!))),0)</f>
        <v>#REF!</v>
      </c>
      <c r="D23" s="12">
        <f t="shared" si="1"/>
        <v>4.68</v>
      </c>
      <c r="E23" s="9">
        <f>MAX(MIN(I8*0.1,(I8-(E11*B23))),0)</f>
        <v>27.616000000000003</v>
      </c>
      <c r="F23" s="9">
        <f>MAX(MIN(I8*0.1,(I8-(F11*B23))),0)</f>
        <v>27.616000000000003</v>
      </c>
      <c r="G23" s="9">
        <f>MAX(MIN(I8*0.1,(I8-(G11*B23))),0)</f>
        <v>27.616000000000003</v>
      </c>
      <c r="H23" s="10">
        <f t="shared" ref="H23:O30" si="4">MAX(MIN(ROUND($I$8*0.1,2),((ROUND(0.86*$I$8,2))-(ROUND(H$11*$B23,2)))),0)</f>
        <v>27.62</v>
      </c>
      <c r="I23" s="10">
        <f t="shared" si="4"/>
        <v>27.62</v>
      </c>
      <c r="J23" s="10">
        <f t="shared" si="4"/>
        <v>27.62</v>
      </c>
      <c r="K23" s="10">
        <f t="shared" si="4"/>
        <v>27.62</v>
      </c>
      <c r="L23" s="10">
        <f t="shared" si="4"/>
        <v>23.889999999999986</v>
      </c>
      <c r="M23" s="10">
        <f t="shared" si="4"/>
        <v>0.18000000000000682</v>
      </c>
      <c r="N23" s="11">
        <f t="shared" si="4"/>
        <v>0</v>
      </c>
      <c r="O23" s="11">
        <f t="shared" si="4"/>
        <v>0</v>
      </c>
      <c r="P23" s="9"/>
    </row>
    <row r="24" spans="1:16" ht="18.75" x14ac:dyDescent="0.3">
      <c r="A24" s="6"/>
      <c r="B24" s="23">
        <f t="shared" si="3"/>
        <v>0.19359999999999999</v>
      </c>
      <c r="C24" s="9" t="e">
        <f>MAX(MIN(F8*0.1,(F8-(C11*#REF!))),0)</f>
        <v>#REF!</v>
      </c>
      <c r="D24" s="12">
        <f t="shared" si="1"/>
        <v>9.49</v>
      </c>
      <c r="E24" s="9">
        <f>MAX(MIN(I8*0.1,(I8-(E11*B24))),0)</f>
        <v>27.616000000000003</v>
      </c>
      <c r="F24" s="9">
        <f>MAX(MIN(I8*0.1,(I8-(F11*B24))),0)</f>
        <v>27.616000000000003</v>
      </c>
      <c r="G24" s="9">
        <f>MAX(MIN(I8*0.1,(I8-(G11*B24))),0)</f>
        <v>27.616000000000003</v>
      </c>
      <c r="H24" s="10">
        <f t="shared" si="4"/>
        <v>27.62</v>
      </c>
      <c r="I24" s="10">
        <f t="shared" si="4"/>
        <v>27.62</v>
      </c>
      <c r="J24" s="10">
        <f t="shared" si="4"/>
        <v>27.62</v>
      </c>
      <c r="K24" s="10">
        <f t="shared" si="4"/>
        <v>27.62</v>
      </c>
      <c r="L24" s="10">
        <f t="shared" si="4"/>
        <v>27.62</v>
      </c>
      <c r="M24" s="10">
        <f t="shared" si="4"/>
        <v>4.9900000000000091</v>
      </c>
      <c r="N24" s="11">
        <f t="shared" si="4"/>
        <v>0</v>
      </c>
      <c r="O24" s="11">
        <f t="shared" si="4"/>
        <v>0</v>
      </c>
      <c r="P24" s="9"/>
    </row>
    <row r="25" spans="1:16" ht="18.75" x14ac:dyDescent="0.3">
      <c r="A25" s="6"/>
      <c r="B25" s="23">
        <f t="shared" si="3"/>
        <v>0.18970000000000001</v>
      </c>
      <c r="C25" s="9" t="e">
        <f>MAX(MIN(D9*0.1,(D9-(C12*#REF!))),0)</f>
        <v>#REF!</v>
      </c>
      <c r="D25" s="12">
        <f t="shared" si="1"/>
        <v>14.17</v>
      </c>
      <c r="E25" s="9" t="e">
        <f>MAX(MIN(H9*0.1,(H9-(E12*B25))),0)</f>
        <v>#VALUE!</v>
      </c>
      <c r="F25" s="9" t="e">
        <f>MAX(MIN(H9*0.1,(H9-(F12*B25))),0)</f>
        <v>#VALUE!</v>
      </c>
      <c r="G25" s="9" t="e">
        <f>MAX(MIN(H9*0.1,(H9-(G12*B25))),0)</f>
        <v>#VALUE!</v>
      </c>
      <c r="H25" s="10">
        <f t="shared" si="4"/>
        <v>27.62</v>
      </c>
      <c r="I25" s="10">
        <f t="shared" si="4"/>
        <v>27.62</v>
      </c>
      <c r="J25" s="10">
        <f t="shared" si="4"/>
        <v>27.62</v>
      </c>
      <c r="K25" s="10">
        <f t="shared" si="4"/>
        <v>27.62</v>
      </c>
      <c r="L25" s="10">
        <f t="shared" si="4"/>
        <v>27.62</v>
      </c>
      <c r="M25" s="10">
        <f t="shared" si="4"/>
        <v>9.6699999999999875</v>
      </c>
      <c r="N25" s="11">
        <f t="shared" si="4"/>
        <v>0</v>
      </c>
      <c r="O25" s="11">
        <f t="shared" si="4"/>
        <v>0</v>
      </c>
      <c r="P25" s="9"/>
    </row>
    <row r="26" spans="1:16" ht="18.75" x14ac:dyDescent="0.3">
      <c r="A26" s="6"/>
      <c r="B26" s="23">
        <f t="shared" si="3"/>
        <v>0.18590000000000001</v>
      </c>
      <c r="C26" s="9" t="e">
        <f t="shared" ref="C26" si="5">MAX(MIN(G10*0.1,(G10-(C13*#REF!))),0)</f>
        <v>#DIV/0!</v>
      </c>
      <c r="D26" s="12">
        <f t="shared" si="1"/>
        <v>18.73</v>
      </c>
      <c r="E26" s="9" t="e">
        <f t="shared" ref="E26:E29" si="6">MAX(MIN(K10*0.1,(K10-(E13*B26))),0)</f>
        <v>#DIV/0!</v>
      </c>
      <c r="F26" s="9" t="e">
        <f t="shared" ref="F26:F29" si="7">MAX(MIN(K10*0.1,(K10-(F13*B26))),0)</f>
        <v>#DIV/0!</v>
      </c>
      <c r="G26" s="9" t="e">
        <f t="shared" ref="G26:G29" si="8">MAX(MIN(K10*0.1,(K10-(G13*B26))),0)</f>
        <v>#DIV/0!</v>
      </c>
      <c r="H26" s="10">
        <f t="shared" si="4"/>
        <v>27.62</v>
      </c>
      <c r="I26" s="10">
        <f t="shared" si="4"/>
        <v>27.62</v>
      </c>
      <c r="J26" s="10">
        <f t="shared" si="4"/>
        <v>27.62</v>
      </c>
      <c r="K26" s="10">
        <f t="shared" si="4"/>
        <v>27.62</v>
      </c>
      <c r="L26" s="10">
        <f t="shared" si="4"/>
        <v>27.62</v>
      </c>
      <c r="M26" s="10">
        <f t="shared" si="4"/>
        <v>14.22999999999999</v>
      </c>
      <c r="N26" s="11">
        <f t="shared" si="4"/>
        <v>0</v>
      </c>
      <c r="O26" s="11">
        <f t="shared" si="4"/>
        <v>0</v>
      </c>
      <c r="P26" s="9"/>
    </row>
    <row r="27" spans="1:16" ht="18.75" x14ac:dyDescent="0.3">
      <c r="A27" s="6"/>
      <c r="B27" s="23">
        <f t="shared" si="3"/>
        <v>0.1822</v>
      </c>
      <c r="C27" s="9" t="e">
        <f t="shared" ref="C27" si="9">MAX(MIN(G11*0.1,(G11-(C14*#REF!))),0)</f>
        <v>#REF!</v>
      </c>
      <c r="D27" s="12">
        <f t="shared" si="1"/>
        <v>23.17</v>
      </c>
      <c r="E27" s="9">
        <f t="shared" si="6"/>
        <v>97.300000000000011</v>
      </c>
      <c r="F27" s="9">
        <f t="shared" si="7"/>
        <v>97.300000000000011</v>
      </c>
      <c r="G27" s="9">
        <f t="shared" si="8"/>
        <v>97.300000000000011</v>
      </c>
      <c r="H27" s="10">
        <f t="shared" si="4"/>
        <v>27.62</v>
      </c>
      <c r="I27" s="10">
        <f t="shared" si="4"/>
        <v>27.62</v>
      </c>
      <c r="J27" s="10">
        <f t="shared" si="4"/>
        <v>27.62</v>
      </c>
      <c r="K27" s="10">
        <f t="shared" si="4"/>
        <v>27.62</v>
      </c>
      <c r="L27" s="10">
        <f t="shared" si="4"/>
        <v>27.62</v>
      </c>
      <c r="M27" s="10">
        <f t="shared" si="4"/>
        <v>18.680000000000007</v>
      </c>
      <c r="N27" s="11">
        <f t="shared" si="4"/>
        <v>0</v>
      </c>
      <c r="O27" s="11">
        <f t="shared" si="4"/>
        <v>0</v>
      </c>
      <c r="P27" s="9"/>
    </row>
    <row r="28" spans="1:16" ht="18.75" x14ac:dyDescent="0.3">
      <c r="A28" s="6"/>
      <c r="B28" s="23">
        <f t="shared" si="3"/>
        <v>0.17860000000000001</v>
      </c>
      <c r="C28" s="9" t="e">
        <f t="shared" ref="C28" si="10">MAX(MIN(G12*0.1,(G12-(C15*#REF!))),0)</f>
        <v>#REF!</v>
      </c>
      <c r="D28" s="12">
        <f t="shared" si="1"/>
        <v>27.5</v>
      </c>
      <c r="E28" s="9">
        <f t="shared" si="6"/>
        <v>0</v>
      </c>
      <c r="F28" s="9">
        <f t="shared" si="7"/>
        <v>0</v>
      </c>
      <c r="G28" s="9">
        <f t="shared" si="8"/>
        <v>0</v>
      </c>
      <c r="H28" s="10">
        <f t="shared" si="4"/>
        <v>27.62</v>
      </c>
      <c r="I28" s="10">
        <f t="shared" si="4"/>
        <v>27.62</v>
      </c>
      <c r="J28" s="10">
        <f t="shared" si="4"/>
        <v>27.62</v>
      </c>
      <c r="K28" s="10">
        <f t="shared" si="4"/>
        <v>27.62</v>
      </c>
      <c r="L28" s="10">
        <f t="shared" si="4"/>
        <v>27.62</v>
      </c>
      <c r="M28" s="10">
        <f t="shared" si="4"/>
        <v>23</v>
      </c>
      <c r="N28" s="10">
        <f t="shared" si="4"/>
        <v>1.5699999999999932</v>
      </c>
      <c r="O28" s="11">
        <f t="shared" si="4"/>
        <v>0</v>
      </c>
      <c r="P28" s="13"/>
    </row>
    <row r="29" spans="1:16" ht="18.75" x14ac:dyDescent="0.3">
      <c r="A29" s="6"/>
      <c r="B29" s="23">
        <f t="shared" si="3"/>
        <v>0.17499999999999999</v>
      </c>
      <c r="C29" s="9" t="e">
        <f t="shared" ref="C29" si="11">MAX(MIN(G13*0.1,(G13-(C16*#REF!))),0)</f>
        <v>#REF!</v>
      </c>
      <c r="D29" s="12">
        <f t="shared" si="1"/>
        <v>31.82</v>
      </c>
      <c r="E29" s="9">
        <f t="shared" si="6"/>
        <v>0</v>
      </c>
      <c r="F29" s="9">
        <f t="shared" si="7"/>
        <v>0</v>
      </c>
      <c r="G29" s="9">
        <f t="shared" si="8"/>
        <v>0</v>
      </c>
      <c r="H29" s="10">
        <f t="shared" si="4"/>
        <v>27.62</v>
      </c>
      <c r="I29" s="10">
        <f t="shared" si="4"/>
        <v>27.62</v>
      </c>
      <c r="J29" s="10">
        <f t="shared" si="4"/>
        <v>27.62</v>
      </c>
      <c r="K29" s="10">
        <f t="shared" si="4"/>
        <v>27.62</v>
      </c>
      <c r="L29" s="10">
        <f t="shared" si="4"/>
        <v>27.62</v>
      </c>
      <c r="M29" s="10">
        <f t="shared" si="4"/>
        <v>27.319999999999993</v>
      </c>
      <c r="N29" s="10">
        <f t="shared" si="4"/>
        <v>6.3199999999999932</v>
      </c>
      <c r="O29" s="11">
        <f t="shared" si="4"/>
        <v>0</v>
      </c>
      <c r="P29" s="13"/>
    </row>
    <row r="30" spans="1:16" ht="18.75" x14ac:dyDescent="0.3">
      <c r="A30" s="6"/>
      <c r="B30" s="23">
        <f t="shared" si="3"/>
        <v>0.17150000000000001</v>
      </c>
      <c r="C30" s="9" t="e">
        <f t="shared" ref="C30" si="12">MAX(MIN(G14*0.1,(G14-(C17*#REF!))),0)</f>
        <v>#REF!</v>
      </c>
      <c r="D30" s="12">
        <f t="shared" si="1"/>
        <v>36.020000000000003</v>
      </c>
      <c r="E30" s="9">
        <f t="shared" ref="E30" si="13">MAX(MIN(K14*0.1,(K14-(E17*B30))),0)</f>
        <v>0</v>
      </c>
      <c r="F30" s="9">
        <f t="shared" ref="F30" si="14">MAX(MIN(K14*0.1,(K14-(F17*B30))),0)</f>
        <v>0</v>
      </c>
      <c r="G30" s="9">
        <f t="shared" ref="G30" si="15">MAX(MIN(K14*0.1,(K14-(G17*B30))),0)</f>
        <v>0</v>
      </c>
      <c r="H30" s="10">
        <f t="shared" si="4"/>
        <v>27.62</v>
      </c>
      <c r="I30" s="10">
        <f t="shared" si="4"/>
        <v>27.62</v>
      </c>
      <c r="J30" s="10">
        <f t="shared" si="4"/>
        <v>27.62</v>
      </c>
      <c r="K30" s="10">
        <f t="shared" si="4"/>
        <v>27.62</v>
      </c>
      <c r="L30" s="10">
        <f t="shared" si="4"/>
        <v>27.62</v>
      </c>
      <c r="M30" s="10">
        <f t="shared" si="4"/>
        <v>27.62</v>
      </c>
      <c r="N30" s="10">
        <f t="shared" si="4"/>
        <v>10.949999999999989</v>
      </c>
      <c r="O30" s="11">
        <f t="shared" si="4"/>
        <v>0</v>
      </c>
      <c r="P30" s="13"/>
    </row>
  </sheetData>
  <sheetProtection algorithmName="SHA-512" hashValue="XCbl4jneeIF1aRly3DX8ztm7bwSxvRWlkoWWXnMZZYwT1ApDah0/8UsjnHkJWYWU+BvEeHG0euRQmyusmmkcGQ==" saltValue="X/tpOlS6o/+GArrh7NZepA==" spinCount="100000" sheet="1" objects="1" scenarios="1"/>
  <mergeCells count="5">
    <mergeCell ref="A9:A11"/>
    <mergeCell ref="B9:B11"/>
    <mergeCell ref="H12:O12"/>
    <mergeCell ref="B3:O3"/>
    <mergeCell ref="I8:J8"/>
  </mergeCells>
  <dataValidations count="3">
    <dataValidation type="list" showInputMessage="1" showErrorMessage="1" prompt="Select your county from the drop-down menu.  If your county is not listed, data is not yet available." sqref="D5">
      <formula1>SunCounties</formula1>
    </dataValidation>
    <dataValidation type="list" allowBlank="1" showInputMessage="1" showErrorMessage="1" prompt="Select an irrigation practice.  If the table turns to N/A, that irrigation practice is not available in your county." sqref="I5">
      <formula1>Irrigation</formula1>
    </dataValidation>
    <dataValidation allowBlank="1" showInputMessage="1" showErrorMessage="1" prompt="This will be your individual farm program yield.  It defaults to the county yield to show an &quot;average&quot; producer." sqref="N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workbookViewId="0">
      <selection activeCell="K14" sqref="K14"/>
    </sheetView>
  </sheetViews>
  <sheetFormatPr defaultRowHeight="15" x14ac:dyDescent="0.25"/>
  <cols>
    <col min="2" max="2" width="12.85546875" bestFit="1" customWidth="1"/>
    <col min="3" max="3" width="14.85546875" customWidth="1"/>
    <col min="4" max="5" width="15.85546875" customWidth="1"/>
    <col min="6" max="6" width="13" customWidth="1"/>
    <col min="7" max="7" width="12.28515625" customWidth="1"/>
    <col min="8" max="8" width="13.140625" customWidth="1"/>
    <col min="9" max="9" width="12" customWidth="1"/>
    <col min="10" max="10" width="12.85546875" customWidth="1"/>
    <col min="11" max="11" width="13.85546875" customWidth="1"/>
    <col min="13" max="13" width="12.5703125" customWidth="1"/>
    <col min="14" max="14" width="18.42578125" customWidth="1"/>
    <col min="15" max="15" width="13.85546875" customWidth="1"/>
    <col min="16" max="16" width="12" customWidth="1"/>
    <col min="17" max="17" width="12.85546875" customWidth="1"/>
    <col min="18" max="18" width="12.5703125" customWidth="1"/>
    <col min="19" max="19" width="12.85546875" customWidth="1"/>
    <col min="20" max="20" width="12.5703125" customWidth="1"/>
    <col min="21" max="21" width="12.140625" customWidth="1"/>
    <col min="23" max="23" width="15.85546875" customWidth="1"/>
    <col min="24" max="24" width="18.42578125" customWidth="1"/>
    <col min="25" max="25" width="17.7109375" customWidth="1"/>
    <col min="26" max="26" width="12.7109375" customWidth="1"/>
    <col min="27" max="27" width="12" customWidth="1"/>
    <col min="28" max="28" width="12.7109375" customWidth="1"/>
    <col min="29" max="29" width="10.5703125" customWidth="1"/>
    <col min="30" max="30" width="10.42578125" customWidth="1"/>
    <col min="31" max="31" width="12.7109375" customWidth="1"/>
  </cols>
  <sheetData>
    <row r="1" spans="1:31" ht="15.75" thickBot="1" x14ac:dyDescent="0.3">
      <c r="A1" s="31"/>
      <c r="B1" s="32"/>
      <c r="C1" s="61" t="s">
        <v>43</v>
      </c>
      <c r="D1" s="61"/>
      <c r="E1" s="61"/>
      <c r="F1" s="61"/>
      <c r="G1" s="61"/>
      <c r="H1" s="61"/>
      <c r="I1" s="61"/>
      <c r="J1" s="61"/>
      <c r="K1" s="61"/>
      <c r="L1" s="30"/>
      <c r="M1" s="61" t="s">
        <v>43</v>
      </c>
      <c r="N1" s="61"/>
      <c r="O1" s="61"/>
      <c r="P1" s="61"/>
      <c r="Q1" s="61"/>
      <c r="R1" s="61"/>
      <c r="S1" s="61"/>
      <c r="T1" s="61"/>
      <c r="U1" s="61"/>
      <c r="W1" s="61" t="s">
        <v>43</v>
      </c>
      <c r="X1" s="61"/>
      <c r="Y1" s="61"/>
      <c r="Z1" s="61"/>
      <c r="AA1" s="61"/>
      <c r="AB1" s="61"/>
      <c r="AC1" s="61"/>
      <c r="AD1" s="61"/>
      <c r="AE1" s="61"/>
    </row>
    <row r="2" spans="1:31" ht="27" thickBot="1" x14ac:dyDescent="0.3">
      <c r="A2" s="25" t="s">
        <v>44</v>
      </c>
      <c r="B2" s="1" t="s">
        <v>122</v>
      </c>
      <c r="C2" s="25" t="s">
        <v>44</v>
      </c>
      <c r="D2" s="26" t="s">
        <v>45</v>
      </c>
      <c r="E2" s="26" t="s">
        <v>46</v>
      </c>
      <c r="F2" s="27" t="s">
        <v>47</v>
      </c>
      <c r="G2" s="27" t="s">
        <v>48</v>
      </c>
      <c r="H2" s="27" t="s">
        <v>49</v>
      </c>
      <c r="I2" s="27" t="s">
        <v>50</v>
      </c>
      <c r="J2" s="28" t="s">
        <v>51</v>
      </c>
      <c r="K2" s="28" t="s">
        <v>54</v>
      </c>
      <c r="M2" s="25" t="s">
        <v>44</v>
      </c>
      <c r="N2" s="26" t="s">
        <v>45</v>
      </c>
      <c r="O2" s="26" t="s">
        <v>46</v>
      </c>
      <c r="P2" s="27" t="s">
        <v>47</v>
      </c>
      <c r="Q2" s="27" t="s">
        <v>48</v>
      </c>
      <c r="R2" s="27" t="s">
        <v>49</v>
      </c>
      <c r="S2" s="27" t="s">
        <v>50</v>
      </c>
      <c r="T2" s="28" t="s">
        <v>51</v>
      </c>
      <c r="U2" s="28" t="s">
        <v>54</v>
      </c>
      <c r="W2" s="25" t="s">
        <v>44</v>
      </c>
      <c r="X2" s="26" t="s">
        <v>45</v>
      </c>
      <c r="Y2" s="26" t="s">
        <v>46</v>
      </c>
      <c r="Z2" s="27" t="s">
        <v>47</v>
      </c>
      <c r="AA2" s="27" t="s">
        <v>48</v>
      </c>
      <c r="AB2" s="27" t="s">
        <v>49</v>
      </c>
      <c r="AC2" s="27" t="s">
        <v>50</v>
      </c>
      <c r="AD2" s="28" t="s">
        <v>51</v>
      </c>
      <c r="AE2" s="28" t="s">
        <v>54</v>
      </c>
    </row>
    <row r="3" spans="1:31" x14ac:dyDescent="0.25">
      <c r="A3" s="51" t="s">
        <v>76</v>
      </c>
      <c r="B3" s="1" t="s">
        <v>41</v>
      </c>
      <c r="C3" s="51" t="s">
        <v>76</v>
      </c>
      <c r="D3" s="51" t="s">
        <v>52</v>
      </c>
      <c r="E3" s="51" t="s">
        <v>41</v>
      </c>
      <c r="F3" s="51">
        <v>978</v>
      </c>
      <c r="G3" s="51">
        <v>1083</v>
      </c>
      <c r="H3" s="51">
        <v>1144</v>
      </c>
      <c r="I3" s="51">
        <v>906</v>
      </c>
      <c r="J3" s="51">
        <v>1100</v>
      </c>
      <c r="K3" s="52">
        <f t="shared" ref="K3:K34" si="0">(SUM(F3:J3)-MAX(F3:J3)-MIN(F3:J3))/3</f>
        <v>1053.6666666666667</v>
      </c>
      <c r="M3" s="51" t="s">
        <v>13</v>
      </c>
      <c r="N3" s="51" t="s">
        <v>52</v>
      </c>
      <c r="O3" s="51" t="s">
        <v>42</v>
      </c>
      <c r="P3" s="51">
        <v>1461</v>
      </c>
      <c r="Q3" s="51">
        <v>1760</v>
      </c>
      <c r="R3" s="51">
        <v>1525</v>
      </c>
      <c r="S3" s="51">
        <v>1657</v>
      </c>
      <c r="T3" s="51">
        <v>1280</v>
      </c>
      <c r="U3" s="52">
        <f t="shared" ref="U3:U12" si="1">(SUM(P3:T3)-MAX(P3:T3)-MIN(P3:T3))/3</f>
        <v>1547.6666666666667</v>
      </c>
      <c r="W3" s="51" t="s">
        <v>13</v>
      </c>
      <c r="X3" s="51" t="s">
        <v>52</v>
      </c>
      <c r="Y3" s="51" t="s">
        <v>53</v>
      </c>
      <c r="Z3" s="51">
        <v>1582</v>
      </c>
      <c r="AA3" s="51">
        <v>1897</v>
      </c>
      <c r="AB3" s="51">
        <v>1467</v>
      </c>
      <c r="AC3" s="51">
        <v>889</v>
      </c>
      <c r="AD3" s="51">
        <v>616</v>
      </c>
      <c r="AE3" s="52">
        <f t="shared" ref="AE3:AE12" si="2">(SUM(Z3:AD3)-MAX(Z3:AD3)-MIN(Z3:AD3))/3</f>
        <v>1312.6666666666667</v>
      </c>
    </row>
    <row r="4" spans="1:31" x14ac:dyDescent="0.25">
      <c r="A4" s="51" t="s">
        <v>12</v>
      </c>
      <c r="B4" s="1" t="s">
        <v>42</v>
      </c>
      <c r="C4" s="51" t="s">
        <v>12</v>
      </c>
      <c r="D4" s="51" t="s">
        <v>52</v>
      </c>
      <c r="E4" s="51" t="s">
        <v>41</v>
      </c>
      <c r="F4" s="51">
        <v>1175</v>
      </c>
      <c r="G4" s="51">
        <v>863</v>
      </c>
      <c r="H4" s="51">
        <v>627</v>
      </c>
      <c r="I4" s="51">
        <v>728</v>
      </c>
      <c r="J4" s="51">
        <v>1323</v>
      </c>
      <c r="K4" s="52">
        <f t="shared" si="0"/>
        <v>922</v>
      </c>
      <c r="M4" s="51" t="s">
        <v>123</v>
      </c>
      <c r="N4" s="51" t="s">
        <v>52</v>
      </c>
      <c r="O4" s="51" t="s">
        <v>42</v>
      </c>
      <c r="P4" s="51">
        <v>1707</v>
      </c>
      <c r="Q4" s="51">
        <v>1227</v>
      </c>
      <c r="R4" s="51">
        <v>1080</v>
      </c>
      <c r="S4" s="51">
        <v>1080</v>
      </c>
      <c r="T4" s="51">
        <v>1375</v>
      </c>
      <c r="U4" s="52">
        <f t="shared" si="1"/>
        <v>1227.3333333333333</v>
      </c>
      <c r="W4" s="51" t="s">
        <v>123</v>
      </c>
      <c r="X4" s="51" t="s">
        <v>52</v>
      </c>
      <c r="Y4" s="51" t="s">
        <v>53</v>
      </c>
      <c r="Z4" s="51">
        <v>1552</v>
      </c>
      <c r="AA4" s="51">
        <v>999</v>
      </c>
      <c r="AB4" s="51">
        <v>818</v>
      </c>
      <c r="AC4" s="51">
        <v>818</v>
      </c>
      <c r="AD4" s="51">
        <v>902</v>
      </c>
      <c r="AE4" s="52">
        <f t="shared" si="2"/>
        <v>906.33333333333337</v>
      </c>
    </row>
    <row r="5" spans="1:31" x14ac:dyDescent="0.25">
      <c r="A5" s="51" t="s">
        <v>77</v>
      </c>
      <c r="B5" s="1" t="s">
        <v>53</v>
      </c>
      <c r="C5" s="51" t="s">
        <v>77</v>
      </c>
      <c r="D5" s="51" t="s">
        <v>52</v>
      </c>
      <c r="E5" s="51" t="s">
        <v>41</v>
      </c>
      <c r="F5" s="51">
        <v>1336</v>
      </c>
      <c r="G5" s="51">
        <v>1194</v>
      </c>
      <c r="H5" s="51">
        <v>728</v>
      </c>
      <c r="I5" s="51">
        <v>728</v>
      </c>
      <c r="J5" s="51">
        <v>1308</v>
      </c>
      <c r="K5" s="52">
        <f t="shared" si="0"/>
        <v>1076.6666666666667</v>
      </c>
      <c r="M5" s="51" t="s">
        <v>75</v>
      </c>
      <c r="N5" s="51" t="s">
        <v>52</v>
      </c>
      <c r="O5" s="51" t="s">
        <v>42</v>
      </c>
      <c r="P5" s="51">
        <v>1769</v>
      </c>
      <c r="Q5" s="51">
        <v>1715</v>
      </c>
      <c r="R5" s="51">
        <v>1546</v>
      </c>
      <c r="S5" s="51">
        <v>1085</v>
      </c>
      <c r="T5" s="51">
        <v>1375</v>
      </c>
      <c r="U5" s="52">
        <f t="shared" si="1"/>
        <v>1545.3333333333333</v>
      </c>
      <c r="W5" s="51" t="s">
        <v>75</v>
      </c>
      <c r="X5" s="51" t="s">
        <v>52</v>
      </c>
      <c r="Y5" s="51" t="s">
        <v>53</v>
      </c>
      <c r="Z5" s="51">
        <v>1368</v>
      </c>
      <c r="AA5" s="51">
        <v>1141</v>
      </c>
      <c r="AB5" s="51">
        <v>1196</v>
      </c>
      <c r="AC5" s="51">
        <v>614</v>
      </c>
      <c r="AD5" s="51">
        <v>902</v>
      </c>
      <c r="AE5" s="52">
        <f t="shared" si="2"/>
        <v>1079.6666666666667</v>
      </c>
    </row>
    <row r="6" spans="1:31" x14ac:dyDescent="0.25">
      <c r="A6" s="51" t="s">
        <v>78</v>
      </c>
      <c r="B6" s="1"/>
      <c r="C6" s="51" t="s">
        <v>78</v>
      </c>
      <c r="D6" s="51" t="s">
        <v>52</v>
      </c>
      <c r="E6" s="51" t="s">
        <v>41</v>
      </c>
      <c r="F6" s="51">
        <v>849</v>
      </c>
      <c r="G6" s="51">
        <v>1083</v>
      </c>
      <c r="H6" s="51">
        <v>1144</v>
      </c>
      <c r="I6" s="51">
        <v>906</v>
      </c>
      <c r="J6" s="51">
        <v>1100</v>
      </c>
      <c r="K6" s="52">
        <f t="shared" si="0"/>
        <v>1029.6666666666667</v>
      </c>
      <c r="M6" s="51" t="s">
        <v>124</v>
      </c>
      <c r="N6" s="51" t="s">
        <v>52</v>
      </c>
      <c r="O6" s="51" t="s">
        <v>42</v>
      </c>
      <c r="P6" s="51">
        <v>1184</v>
      </c>
      <c r="Q6" s="51">
        <v>1741</v>
      </c>
      <c r="R6" s="51">
        <v>1369</v>
      </c>
      <c r="S6" s="51">
        <v>1737</v>
      </c>
      <c r="T6" s="51">
        <v>1375</v>
      </c>
      <c r="U6" s="52">
        <f t="shared" si="1"/>
        <v>1493.6666666666667</v>
      </c>
      <c r="W6" s="51" t="s">
        <v>124</v>
      </c>
      <c r="X6" s="51" t="s">
        <v>52</v>
      </c>
      <c r="Y6" s="51" t="s">
        <v>53</v>
      </c>
      <c r="Z6" s="51">
        <v>1103</v>
      </c>
      <c r="AA6" s="51">
        <v>1051</v>
      </c>
      <c r="AB6" s="51">
        <v>1159</v>
      </c>
      <c r="AC6" s="51">
        <v>985</v>
      </c>
      <c r="AD6" s="51">
        <v>902</v>
      </c>
      <c r="AE6" s="52">
        <f t="shared" si="2"/>
        <v>1046.3333333333333</v>
      </c>
    </row>
    <row r="7" spans="1:31" x14ac:dyDescent="0.25">
      <c r="A7" s="51" t="s">
        <v>79</v>
      </c>
      <c r="B7" s="1"/>
      <c r="C7" s="51" t="s">
        <v>79</v>
      </c>
      <c r="D7" s="51" t="s">
        <v>52</v>
      </c>
      <c r="E7" s="51" t="s">
        <v>41</v>
      </c>
      <c r="F7" s="51">
        <v>978</v>
      </c>
      <c r="G7" s="51">
        <v>863</v>
      </c>
      <c r="H7" s="51">
        <v>646</v>
      </c>
      <c r="I7" s="51">
        <v>906</v>
      </c>
      <c r="J7" s="51">
        <v>1100</v>
      </c>
      <c r="K7" s="52">
        <f t="shared" si="0"/>
        <v>915.66666666666663</v>
      </c>
      <c r="M7" s="51" t="s">
        <v>125</v>
      </c>
      <c r="N7" s="51" t="s">
        <v>52</v>
      </c>
      <c r="O7" s="51" t="s">
        <v>42</v>
      </c>
      <c r="P7" s="51">
        <v>2537</v>
      </c>
      <c r="Q7" s="51">
        <v>2422</v>
      </c>
      <c r="R7" s="51">
        <v>1385</v>
      </c>
      <c r="S7" s="51">
        <v>2132</v>
      </c>
      <c r="T7" s="51">
        <v>1577</v>
      </c>
      <c r="U7" s="52">
        <f t="shared" si="1"/>
        <v>2043.6666666666667</v>
      </c>
      <c r="W7" s="51" t="s">
        <v>125</v>
      </c>
      <c r="X7" s="51" t="s">
        <v>52</v>
      </c>
      <c r="Y7" s="51" t="s">
        <v>53</v>
      </c>
      <c r="Z7" s="51">
        <v>2384</v>
      </c>
      <c r="AA7" s="51">
        <v>1895</v>
      </c>
      <c r="AB7" s="51">
        <v>1477</v>
      </c>
      <c r="AC7" s="51">
        <v>1569</v>
      </c>
      <c r="AD7" s="51">
        <v>1215</v>
      </c>
      <c r="AE7" s="52">
        <f t="shared" si="2"/>
        <v>1647</v>
      </c>
    </row>
    <row r="8" spans="1:31" x14ac:dyDescent="0.25">
      <c r="A8" s="51" t="s">
        <v>13</v>
      </c>
      <c r="B8" s="1"/>
      <c r="C8" s="51" t="s">
        <v>80</v>
      </c>
      <c r="D8" s="51" t="s">
        <v>52</v>
      </c>
      <c r="E8" s="51" t="s">
        <v>41</v>
      </c>
      <c r="F8" s="51">
        <v>1410</v>
      </c>
      <c r="G8" s="51">
        <v>1532</v>
      </c>
      <c r="H8" s="51">
        <v>750</v>
      </c>
      <c r="I8" s="51">
        <v>906</v>
      </c>
      <c r="J8" s="51">
        <v>1100</v>
      </c>
      <c r="K8" s="52">
        <f t="shared" si="0"/>
        <v>1138.6666666666667</v>
      </c>
      <c r="M8" s="51" t="s">
        <v>33</v>
      </c>
      <c r="N8" s="51" t="s">
        <v>52</v>
      </c>
      <c r="O8" s="51" t="s">
        <v>42</v>
      </c>
      <c r="P8" s="51">
        <v>2021</v>
      </c>
      <c r="Q8" s="51">
        <v>1974</v>
      </c>
      <c r="R8" s="51">
        <v>2061</v>
      </c>
      <c r="S8" s="51">
        <v>2037</v>
      </c>
      <c r="T8" s="51">
        <v>1706</v>
      </c>
      <c r="U8" s="52">
        <f t="shared" si="1"/>
        <v>2010.6666666666667</v>
      </c>
      <c r="W8" s="51" t="s">
        <v>33</v>
      </c>
      <c r="X8" s="51" t="s">
        <v>52</v>
      </c>
      <c r="Y8" s="51" t="s">
        <v>53</v>
      </c>
      <c r="Z8" s="51">
        <v>1601</v>
      </c>
      <c r="AA8" s="51">
        <v>1706</v>
      </c>
      <c r="AB8" s="51">
        <v>1616</v>
      </c>
      <c r="AC8" s="51">
        <v>610</v>
      </c>
      <c r="AD8" s="51">
        <v>610</v>
      </c>
      <c r="AE8" s="52">
        <f t="shared" si="2"/>
        <v>1275.6666666666667</v>
      </c>
    </row>
    <row r="9" spans="1:31" x14ac:dyDescent="0.25">
      <c r="A9" s="51" t="s">
        <v>80</v>
      </c>
      <c r="B9" s="1"/>
      <c r="C9" s="51" t="s">
        <v>81</v>
      </c>
      <c r="D9" s="51" t="s">
        <v>52</v>
      </c>
      <c r="E9" s="51" t="s">
        <v>41</v>
      </c>
      <c r="F9" s="51">
        <v>1497</v>
      </c>
      <c r="G9" s="51">
        <v>1083</v>
      </c>
      <c r="H9" s="51">
        <v>1296</v>
      </c>
      <c r="I9" s="51">
        <v>781</v>
      </c>
      <c r="J9" s="51">
        <v>1100</v>
      </c>
      <c r="K9" s="52">
        <f t="shared" si="0"/>
        <v>1159.6666666666667</v>
      </c>
      <c r="M9" s="51" t="s">
        <v>126</v>
      </c>
      <c r="N9" s="51" t="s">
        <v>52</v>
      </c>
      <c r="O9" s="51" t="s">
        <v>42</v>
      </c>
      <c r="P9" s="51">
        <v>1498</v>
      </c>
      <c r="Q9" s="51">
        <v>1280</v>
      </c>
      <c r="R9" s="51">
        <v>1011</v>
      </c>
      <c r="S9" s="51">
        <v>1011</v>
      </c>
      <c r="T9" s="51">
        <v>1375</v>
      </c>
      <c r="U9" s="52">
        <f t="shared" si="1"/>
        <v>1222</v>
      </c>
      <c r="W9" s="51" t="s">
        <v>126</v>
      </c>
      <c r="X9" s="51" t="s">
        <v>52</v>
      </c>
      <c r="Y9" s="51" t="s">
        <v>53</v>
      </c>
      <c r="Z9" s="51">
        <v>1520</v>
      </c>
      <c r="AA9" s="51">
        <v>943</v>
      </c>
      <c r="AB9" s="51">
        <v>639</v>
      </c>
      <c r="AC9" s="51">
        <v>743</v>
      </c>
      <c r="AD9" s="51">
        <v>902</v>
      </c>
      <c r="AE9" s="52">
        <f t="shared" si="2"/>
        <v>862.66666666666663</v>
      </c>
    </row>
    <row r="10" spans="1:31" x14ac:dyDescent="0.25">
      <c r="A10" s="51" t="s">
        <v>81</v>
      </c>
      <c r="B10" s="1"/>
      <c r="C10" s="51" t="s">
        <v>82</v>
      </c>
      <c r="D10" s="51" t="s">
        <v>52</v>
      </c>
      <c r="E10" s="51" t="s">
        <v>41</v>
      </c>
      <c r="F10" s="51">
        <v>1399</v>
      </c>
      <c r="G10" s="51">
        <v>1029</v>
      </c>
      <c r="H10" s="51">
        <v>900</v>
      </c>
      <c r="I10" s="51">
        <v>1375</v>
      </c>
      <c r="J10" s="51">
        <v>1100</v>
      </c>
      <c r="K10" s="52">
        <f t="shared" si="0"/>
        <v>1168</v>
      </c>
      <c r="M10" s="51" t="s">
        <v>38</v>
      </c>
      <c r="N10" s="51" t="s">
        <v>52</v>
      </c>
      <c r="O10" s="51" t="s">
        <v>42</v>
      </c>
      <c r="P10" s="51">
        <v>1892</v>
      </c>
      <c r="Q10" s="51">
        <v>2430</v>
      </c>
      <c r="R10" s="51">
        <v>1640</v>
      </c>
      <c r="S10" s="51">
        <v>1919</v>
      </c>
      <c r="T10" s="51">
        <v>2023</v>
      </c>
      <c r="U10" s="52">
        <f t="shared" si="1"/>
        <v>1944.6666666666667</v>
      </c>
      <c r="W10" s="51" t="s">
        <v>38</v>
      </c>
      <c r="X10" s="51" t="s">
        <v>52</v>
      </c>
      <c r="Y10" s="51" t="s">
        <v>53</v>
      </c>
      <c r="Z10" s="51">
        <v>2226</v>
      </c>
      <c r="AA10" s="51">
        <v>1670</v>
      </c>
      <c r="AB10" s="51">
        <v>1404</v>
      </c>
      <c r="AC10" s="51">
        <v>835</v>
      </c>
      <c r="AD10" s="51">
        <v>690</v>
      </c>
      <c r="AE10" s="52">
        <f t="shared" si="2"/>
        <v>1303</v>
      </c>
    </row>
    <row r="11" spans="1:31" x14ac:dyDescent="0.25">
      <c r="A11" s="51" t="s">
        <v>82</v>
      </c>
      <c r="B11" s="1"/>
      <c r="C11" s="51" t="s">
        <v>83</v>
      </c>
      <c r="D11" s="51" t="s">
        <v>52</v>
      </c>
      <c r="E11" s="51" t="s">
        <v>41</v>
      </c>
      <c r="F11" s="51">
        <v>1175</v>
      </c>
      <c r="G11" s="51">
        <v>863</v>
      </c>
      <c r="H11" s="51">
        <v>585</v>
      </c>
      <c r="I11" s="51">
        <v>728</v>
      </c>
      <c r="J11" s="51">
        <v>1323</v>
      </c>
      <c r="K11" s="52">
        <f t="shared" si="0"/>
        <v>922</v>
      </c>
      <c r="M11" s="51" t="s">
        <v>39</v>
      </c>
      <c r="N11" s="51" t="s">
        <v>52</v>
      </c>
      <c r="O11" s="51" t="s">
        <v>42</v>
      </c>
      <c r="P11" s="51">
        <v>2057</v>
      </c>
      <c r="Q11" s="51">
        <v>2011</v>
      </c>
      <c r="R11" s="51">
        <v>1628</v>
      </c>
      <c r="S11" s="51">
        <v>1453</v>
      </c>
      <c r="T11" s="51">
        <v>1094</v>
      </c>
      <c r="U11" s="52">
        <f t="shared" si="1"/>
        <v>1697.3333333333333</v>
      </c>
      <c r="W11" s="51" t="s">
        <v>39</v>
      </c>
      <c r="X11" s="51" t="s">
        <v>52</v>
      </c>
      <c r="Y11" s="51" t="s">
        <v>53</v>
      </c>
      <c r="Z11" s="51">
        <v>1238</v>
      </c>
      <c r="AA11" s="51">
        <v>1337</v>
      </c>
      <c r="AB11" s="51">
        <v>1020</v>
      </c>
      <c r="AC11" s="51">
        <v>694</v>
      </c>
      <c r="AD11" s="51">
        <v>694</v>
      </c>
      <c r="AE11" s="52">
        <f t="shared" si="2"/>
        <v>984</v>
      </c>
    </row>
    <row r="12" spans="1:31" x14ac:dyDescent="0.25">
      <c r="A12" s="51" t="s">
        <v>83</v>
      </c>
      <c r="B12" s="1"/>
      <c r="C12" s="51" t="s">
        <v>84</v>
      </c>
      <c r="D12" s="51" t="s">
        <v>52</v>
      </c>
      <c r="E12" s="51" t="s">
        <v>41</v>
      </c>
      <c r="F12" s="51">
        <v>743</v>
      </c>
      <c r="G12" s="51">
        <v>775</v>
      </c>
      <c r="H12" s="51">
        <v>743</v>
      </c>
      <c r="I12" s="51">
        <v>906</v>
      </c>
      <c r="J12" s="51">
        <v>1100</v>
      </c>
      <c r="K12" s="52">
        <f t="shared" si="0"/>
        <v>808</v>
      </c>
      <c r="M12" s="51" t="s">
        <v>127</v>
      </c>
      <c r="N12" s="51" t="s">
        <v>52</v>
      </c>
      <c r="O12" s="51" t="s">
        <v>42</v>
      </c>
      <c r="P12" s="51">
        <v>1729</v>
      </c>
      <c r="Q12" s="51">
        <v>1316</v>
      </c>
      <c r="R12" s="51">
        <v>1856</v>
      </c>
      <c r="S12" s="51">
        <v>1893</v>
      </c>
      <c r="T12" s="51">
        <v>1375</v>
      </c>
      <c r="U12" s="52">
        <f t="shared" si="1"/>
        <v>1653.3333333333333</v>
      </c>
      <c r="W12" s="51" t="s">
        <v>127</v>
      </c>
      <c r="X12" s="51" t="s">
        <v>52</v>
      </c>
      <c r="Y12" s="51" t="s">
        <v>53</v>
      </c>
      <c r="Z12" s="51">
        <v>1479</v>
      </c>
      <c r="AA12" s="51">
        <v>827</v>
      </c>
      <c r="AB12" s="51">
        <v>1237</v>
      </c>
      <c r="AC12" s="51">
        <v>1541</v>
      </c>
      <c r="AD12" s="51">
        <v>902</v>
      </c>
      <c r="AE12" s="52">
        <f t="shared" si="2"/>
        <v>1206</v>
      </c>
    </row>
    <row r="13" spans="1:31" x14ac:dyDescent="0.25">
      <c r="A13" s="51" t="s">
        <v>84</v>
      </c>
      <c r="B13" s="1"/>
      <c r="C13" s="51" t="s">
        <v>14</v>
      </c>
      <c r="D13" s="51" t="s">
        <v>52</v>
      </c>
      <c r="E13" s="51" t="s">
        <v>41</v>
      </c>
      <c r="F13" s="51">
        <v>2035</v>
      </c>
      <c r="G13" s="51">
        <v>1476</v>
      </c>
      <c r="H13" s="51">
        <v>1265</v>
      </c>
      <c r="I13" s="51">
        <v>1394</v>
      </c>
      <c r="J13" s="51">
        <v>1706</v>
      </c>
      <c r="K13" s="52">
        <f t="shared" si="0"/>
        <v>1525.3333333333333</v>
      </c>
    </row>
    <row r="14" spans="1:31" x14ac:dyDescent="0.25">
      <c r="A14" s="51" t="s">
        <v>14</v>
      </c>
      <c r="B14" s="1"/>
      <c r="C14" s="51" t="s">
        <v>85</v>
      </c>
      <c r="D14" s="51" t="s">
        <v>52</v>
      </c>
      <c r="E14" s="51" t="s">
        <v>41</v>
      </c>
      <c r="F14" s="51">
        <v>1336</v>
      </c>
      <c r="G14" s="51">
        <v>1194</v>
      </c>
      <c r="H14" s="51">
        <v>1296</v>
      </c>
      <c r="I14" s="51">
        <v>781</v>
      </c>
      <c r="J14" s="51">
        <v>1308</v>
      </c>
      <c r="K14" s="52">
        <f t="shared" si="0"/>
        <v>1266</v>
      </c>
    </row>
    <row r="15" spans="1:31" x14ac:dyDescent="0.25">
      <c r="A15" s="51" t="s">
        <v>85</v>
      </c>
      <c r="B15" s="1"/>
      <c r="C15" s="51" t="s">
        <v>86</v>
      </c>
      <c r="D15" s="51" t="s">
        <v>52</v>
      </c>
      <c r="E15" s="51" t="s">
        <v>41</v>
      </c>
      <c r="F15" s="51">
        <v>978</v>
      </c>
      <c r="G15" s="51">
        <v>1083</v>
      </c>
      <c r="H15" s="51">
        <v>1144</v>
      </c>
      <c r="I15" s="51">
        <v>906</v>
      </c>
      <c r="J15" s="51">
        <v>1100</v>
      </c>
      <c r="K15" s="52">
        <f t="shared" si="0"/>
        <v>1053.6666666666667</v>
      </c>
    </row>
    <row r="16" spans="1:31" x14ac:dyDescent="0.25">
      <c r="A16" s="51" t="s">
        <v>86</v>
      </c>
      <c r="B16" s="1"/>
      <c r="C16" s="51" t="s">
        <v>15</v>
      </c>
      <c r="D16" s="51" t="s">
        <v>52</v>
      </c>
      <c r="E16" s="51" t="s">
        <v>41</v>
      </c>
      <c r="F16" s="51">
        <v>1488</v>
      </c>
      <c r="G16" s="51">
        <v>1388</v>
      </c>
      <c r="H16" s="51">
        <v>747</v>
      </c>
      <c r="I16" s="51">
        <v>747</v>
      </c>
      <c r="J16" s="51">
        <v>973</v>
      </c>
      <c r="K16" s="52">
        <f t="shared" si="0"/>
        <v>1036</v>
      </c>
    </row>
    <row r="17" spans="1:11" x14ac:dyDescent="0.25">
      <c r="A17" s="51" t="s">
        <v>15</v>
      </c>
      <c r="B17" s="1"/>
      <c r="C17" s="51" t="s">
        <v>16</v>
      </c>
      <c r="D17" s="51" t="s">
        <v>52</v>
      </c>
      <c r="E17" s="51" t="s">
        <v>41</v>
      </c>
      <c r="F17" s="51">
        <v>1859</v>
      </c>
      <c r="G17" s="51">
        <v>1032</v>
      </c>
      <c r="H17" s="51">
        <v>809</v>
      </c>
      <c r="I17" s="51">
        <v>807</v>
      </c>
      <c r="J17" s="51">
        <v>1179</v>
      </c>
      <c r="K17" s="52">
        <f t="shared" si="0"/>
        <v>1006.6666666666666</v>
      </c>
    </row>
    <row r="18" spans="1:11" x14ac:dyDescent="0.25">
      <c r="A18" s="51" t="s">
        <v>16</v>
      </c>
      <c r="B18" s="1"/>
      <c r="C18" s="51" t="s">
        <v>17</v>
      </c>
      <c r="D18" s="51" t="s">
        <v>52</v>
      </c>
      <c r="E18" s="51" t="s">
        <v>41</v>
      </c>
      <c r="F18" s="51">
        <v>1804</v>
      </c>
      <c r="G18" s="51">
        <v>1194</v>
      </c>
      <c r="H18" s="51">
        <v>1019</v>
      </c>
      <c r="I18" s="51">
        <v>1130</v>
      </c>
      <c r="J18" s="51">
        <v>1327</v>
      </c>
      <c r="K18" s="52">
        <f t="shared" si="0"/>
        <v>1217</v>
      </c>
    </row>
    <row r="19" spans="1:11" x14ac:dyDescent="0.25">
      <c r="A19" s="51" t="s">
        <v>17</v>
      </c>
      <c r="B19" s="1"/>
      <c r="C19" s="51" t="s">
        <v>87</v>
      </c>
      <c r="D19" s="51" t="s">
        <v>52</v>
      </c>
      <c r="E19" s="51" t="s">
        <v>41</v>
      </c>
      <c r="F19" s="51">
        <v>1410</v>
      </c>
      <c r="G19" s="51">
        <v>1532</v>
      </c>
      <c r="H19" s="51">
        <v>1014</v>
      </c>
      <c r="I19" s="51">
        <v>1014</v>
      </c>
      <c r="J19" s="51">
        <v>1100</v>
      </c>
      <c r="K19" s="52">
        <f t="shared" si="0"/>
        <v>1174.6666666666667</v>
      </c>
    </row>
    <row r="20" spans="1:11" x14ac:dyDescent="0.25">
      <c r="A20" s="51" t="s">
        <v>123</v>
      </c>
      <c r="B20" s="1"/>
      <c r="C20" s="51" t="s">
        <v>18</v>
      </c>
      <c r="D20" s="51" t="s">
        <v>52</v>
      </c>
      <c r="E20" s="51" t="s">
        <v>41</v>
      </c>
      <c r="F20" s="51">
        <v>2236</v>
      </c>
      <c r="G20" s="51">
        <v>1237</v>
      </c>
      <c r="H20" s="51">
        <v>1292</v>
      </c>
      <c r="I20" s="51">
        <v>1073</v>
      </c>
      <c r="J20" s="51">
        <v>1020</v>
      </c>
      <c r="K20" s="52">
        <f t="shared" si="0"/>
        <v>1200.6666666666667</v>
      </c>
    </row>
    <row r="21" spans="1:11" x14ac:dyDescent="0.25">
      <c r="A21" s="51" t="s">
        <v>87</v>
      </c>
      <c r="B21" s="1"/>
      <c r="C21" s="51" t="s">
        <v>19</v>
      </c>
      <c r="D21" s="51" t="s">
        <v>52</v>
      </c>
      <c r="E21" s="51" t="s">
        <v>41</v>
      </c>
      <c r="F21" s="51">
        <v>1913</v>
      </c>
      <c r="G21" s="51">
        <v>1202</v>
      </c>
      <c r="H21" s="51">
        <v>1429</v>
      </c>
      <c r="I21" s="51">
        <v>1066</v>
      </c>
      <c r="J21" s="51">
        <v>1706</v>
      </c>
      <c r="K21" s="52">
        <f t="shared" si="0"/>
        <v>1445.6666666666667</v>
      </c>
    </row>
    <row r="22" spans="1:11" x14ac:dyDescent="0.25">
      <c r="A22" s="51" t="s">
        <v>18</v>
      </c>
      <c r="B22" s="1"/>
      <c r="C22" s="51" t="s">
        <v>20</v>
      </c>
      <c r="D22" s="51" t="s">
        <v>52</v>
      </c>
      <c r="E22" s="51" t="s">
        <v>41</v>
      </c>
      <c r="F22" s="51">
        <v>1360</v>
      </c>
      <c r="G22" s="51">
        <v>1193</v>
      </c>
      <c r="H22" s="51">
        <v>894</v>
      </c>
      <c r="I22" s="51">
        <v>894</v>
      </c>
      <c r="J22" s="51">
        <v>1476</v>
      </c>
      <c r="K22" s="52">
        <f t="shared" si="0"/>
        <v>1149</v>
      </c>
    </row>
    <row r="23" spans="1:11" x14ac:dyDescent="0.25">
      <c r="A23" s="51" t="s">
        <v>19</v>
      </c>
      <c r="B23" s="1"/>
      <c r="C23" s="51" t="s">
        <v>88</v>
      </c>
      <c r="D23" s="51" t="s">
        <v>52</v>
      </c>
      <c r="E23" s="51" t="s">
        <v>41</v>
      </c>
      <c r="F23" s="51">
        <v>1272</v>
      </c>
      <c r="G23" s="51">
        <v>1532</v>
      </c>
      <c r="H23" s="51">
        <v>1105</v>
      </c>
      <c r="I23" s="51">
        <v>1105</v>
      </c>
      <c r="J23" s="51">
        <v>1105</v>
      </c>
      <c r="K23" s="52">
        <f t="shared" si="0"/>
        <v>1160.6666666666667</v>
      </c>
    </row>
    <row r="24" spans="1:11" x14ac:dyDescent="0.25">
      <c r="A24" s="51" t="s">
        <v>20</v>
      </c>
      <c r="B24" s="1"/>
      <c r="C24" s="51" t="s">
        <v>89</v>
      </c>
      <c r="D24" s="51" t="s">
        <v>52</v>
      </c>
      <c r="E24" s="51" t="s">
        <v>41</v>
      </c>
      <c r="F24" s="51">
        <v>1050</v>
      </c>
      <c r="G24" s="51">
        <v>1029</v>
      </c>
      <c r="H24" s="51">
        <v>599</v>
      </c>
      <c r="I24" s="51">
        <v>906</v>
      </c>
      <c r="J24" s="51">
        <v>1100</v>
      </c>
      <c r="K24" s="52">
        <f t="shared" si="0"/>
        <v>995</v>
      </c>
    </row>
    <row r="25" spans="1:11" x14ac:dyDescent="0.25">
      <c r="A25" s="51" t="s">
        <v>88</v>
      </c>
      <c r="B25" s="1"/>
      <c r="C25" s="51" t="s">
        <v>21</v>
      </c>
      <c r="D25" s="51" t="s">
        <v>52</v>
      </c>
      <c r="E25" s="51" t="s">
        <v>41</v>
      </c>
      <c r="F25" s="51">
        <v>1175</v>
      </c>
      <c r="G25" s="51">
        <v>648</v>
      </c>
      <c r="H25" s="51">
        <v>648</v>
      </c>
      <c r="I25" s="51">
        <v>728</v>
      </c>
      <c r="J25" s="51">
        <v>1323</v>
      </c>
      <c r="K25" s="52">
        <f t="shared" si="0"/>
        <v>850.33333333333337</v>
      </c>
    </row>
    <row r="26" spans="1:11" x14ac:dyDescent="0.25">
      <c r="A26" s="51" t="s">
        <v>75</v>
      </c>
      <c r="B26" s="1"/>
      <c r="C26" s="51" t="s">
        <v>22</v>
      </c>
      <c r="D26" s="51" t="s">
        <v>52</v>
      </c>
      <c r="E26" s="51" t="s">
        <v>41</v>
      </c>
      <c r="F26" s="51">
        <v>1175</v>
      </c>
      <c r="G26" s="51">
        <v>863</v>
      </c>
      <c r="H26" s="51">
        <v>677</v>
      </c>
      <c r="I26" s="51">
        <v>728</v>
      </c>
      <c r="J26" s="51">
        <v>1323</v>
      </c>
      <c r="K26" s="52">
        <f t="shared" si="0"/>
        <v>922</v>
      </c>
    </row>
    <row r="27" spans="1:11" x14ac:dyDescent="0.25">
      <c r="A27" s="51" t="s">
        <v>89</v>
      </c>
      <c r="B27" s="1"/>
      <c r="C27" s="51" t="s">
        <v>90</v>
      </c>
      <c r="D27" s="51" t="s">
        <v>52</v>
      </c>
      <c r="E27" s="51" t="s">
        <v>41</v>
      </c>
      <c r="F27" s="51">
        <v>1689</v>
      </c>
      <c r="G27" s="51">
        <v>1389</v>
      </c>
      <c r="H27" s="51">
        <v>875</v>
      </c>
      <c r="I27" s="51">
        <v>1233</v>
      </c>
      <c r="J27" s="51">
        <v>1100</v>
      </c>
      <c r="K27" s="52">
        <f t="shared" si="0"/>
        <v>1240.6666666666667</v>
      </c>
    </row>
    <row r="28" spans="1:11" x14ac:dyDescent="0.25">
      <c r="A28" s="51" t="s">
        <v>21</v>
      </c>
      <c r="B28" s="1"/>
      <c r="C28" s="51" t="s">
        <v>91</v>
      </c>
      <c r="D28" s="51" t="s">
        <v>52</v>
      </c>
      <c r="E28" s="51" t="s">
        <v>41</v>
      </c>
      <c r="F28" s="51">
        <v>1410</v>
      </c>
      <c r="G28" s="51">
        <v>1156</v>
      </c>
      <c r="H28" s="51">
        <v>944</v>
      </c>
      <c r="I28" s="51">
        <v>944</v>
      </c>
      <c r="J28" s="51">
        <v>1100</v>
      </c>
      <c r="K28" s="52">
        <f t="shared" si="0"/>
        <v>1066.6666666666667</v>
      </c>
    </row>
    <row r="29" spans="1:11" x14ac:dyDescent="0.25">
      <c r="A29" s="51" t="s">
        <v>22</v>
      </c>
      <c r="B29" s="1"/>
      <c r="C29" s="51" t="s">
        <v>92</v>
      </c>
      <c r="D29" s="51" t="s">
        <v>52</v>
      </c>
      <c r="E29" s="51" t="s">
        <v>41</v>
      </c>
      <c r="F29" s="51">
        <v>978</v>
      </c>
      <c r="G29" s="51">
        <v>1083</v>
      </c>
      <c r="H29" s="51">
        <v>1144</v>
      </c>
      <c r="I29" s="51">
        <v>906</v>
      </c>
      <c r="J29" s="51">
        <v>1100</v>
      </c>
      <c r="K29" s="52">
        <f t="shared" si="0"/>
        <v>1053.6666666666667</v>
      </c>
    </row>
    <row r="30" spans="1:11" x14ac:dyDescent="0.25">
      <c r="A30" s="51" t="s">
        <v>90</v>
      </c>
      <c r="B30" s="1"/>
      <c r="C30" s="51" t="s">
        <v>93</v>
      </c>
      <c r="D30" s="51" t="s">
        <v>52</v>
      </c>
      <c r="E30" s="51" t="s">
        <v>41</v>
      </c>
      <c r="F30" s="51">
        <v>978</v>
      </c>
      <c r="G30" s="51">
        <v>1083</v>
      </c>
      <c r="H30" s="51">
        <v>1144</v>
      </c>
      <c r="I30" s="51">
        <v>906</v>
      </c>
      <c r="J30" s="51">
        <v>1100</v>
      </c>
      <c r="K30" s="52">
        <f t="shared" si="0"/>
        <v>1053.6666666666667</v>
      </c>
    </row>
    <row r="31" spans="1:11" x14ac:dyDescent="0.25">
      <c r="A31" s="51" t="s">
        <v>91</v>
      </c>
      <c r="B31" s="1"/>
      <c r="C31" s="51" t="s">
        <v>94</v>
      </c>
      <c r="D31" s="51" t="s">
        <v>52</v>
      </c>
      <c r="E31" s="51" t="s">
        <v>41</v>
      </c>
      <c r="F31" s="51">
        <v>1319</v>
      </c>
      <c r="G31" s="51">
        <v>979</v>
      </c>
      <c r="H31" s="51">
        <v>1313</v>
      </c>
      <c r="I31" s="51">
        <v>979</v>
      </c>
      <c r="J31" s="51">
        <v>1100</v>
      </c>
      <c r="K31" s="52">
        <f t="shared" si="0"/>
        <v>1130.6666666666667</v>
      </c>
    </row>
    <row r="32" spans="1:11" x14ac:dyDescent="0.25">
      <c r="A32" s="51" t="s">
        <v>92</v>
      </c>
      <c r="B32" s="1"/>
      <c r="C32" s="51" t="s">
        <v>95</v>
      </c>
      <c r="D32" s="51" t="s">
        <v>52</v>
      </c>
      <c r="E32" s="51" t="s">
        <v>41</v>
      </c>
      <c r="F32" s="51">
        <v>1410</v>
      </c>
      <c r="G32" s="51">
        <v>1532</v>
      </c>
      <c r="H32" s="51">
        <v>1105</v>
      </c>
      <c r="I32" s="51">
        <v>1105</v>
      </c>
      <c r="J32" s="51">
        <v>1105</v>
      </c>
      <c r="K32" s="52">
        <f t="shared" si="0"/>
        <v>1206.6666666666667</v>
      </c>
    </row>
    <row r="33" spans="1:11" x14ac:dyDescent="0.25">
      <c r="A33" s="51" t="s">
        <v>93</v>
      </c>
      <c r="B33" s="1"/>
      <c r="C33" s="51" t="s">
        <v>23</v>
      </c>
      <c r="D33" s="51" t="s">
        <v>52</v>
      </c>
      <c r="E33" s="51" t="s">
        <v>41</v>
      </c>
      <c r="F33" s="51">
        <v>1130</v>
      </c>
      <c r="G33" s="51">
        <v>863</v>
      </c>
      <c r="H33" s="51">
        <v>655</v>
      </c>
      <c r="I33" s="51">
        <v>728</v>
      </c>
      <c r="J33" s="51">
        <v>1323</v>
      </c>
      <c r="K33" s="52">
        <f t="shared" si="0"/>
        <v>907</v>
      </c>
    </row>
    <row r="34" spans="1:11" x14ac:dyDescent="0.25">
      <c r="A34" s="51" t="s">
        <v>94</v>
      </c>
      <c r="B34" s="1"/>
      <c r="C34" s="51" t="s">
        <v>24</v>
      </c>
      <c r="D34" s="51" t="s">
        <v>52</v>
      </c>
      <c r="E34" s="51" t="s">
        <v>41</v>
      </c>
      <c r="F34" s="51">
        <v>1175</v>
      </c>
      <c r="G34" s="51">
        <v>863</v>
      </c>
      <c r="H34" s="51">
        <v>856</v>
      </c>
      <c r="I34" s="51">
        <v>856</v>
      </c>
      <c r="J34" s="51">
        <v>1323</v>
      </c>
      <c r="K34" s="52">
        <f t="shared" si="0"/>
        <v>964.66666666666663</v>
      </c>
    </row>
    <row r="35" spans="1:11" x14ac:dyDescent="0.25">
      <c r="A35" s="51" t="s">
        <v>95</v>
      </c>
      <c r="C35" s="51" t="s">
        <v>96</v>
      </c>
      <c r="D35" s="51" t="s">
        <v>52</v>
      </c>
      <c r="E35" s="51" t="s">
        <v>41</v>
      </c>
      <c r="F35" s="51">
        <v>1732</v>
      </c>
      <c r="G35" s="51">
        <v>1532</v>
      </c>
      <c r="H35" s="51">
        <v>1157</v>
      </c>
      <c r="I35" s="51">
        <v>1521</v>
      </c>
      <c r="J35" s="51">
        <v>1100</v>
      </c>
      <c r="K35" s="52">
        <f t="shared" ref="K35:K66" si="3">(SUM(F35:J35)-MAX(F35:J35)-MIN(F35:J35))/3</f>
        <v>1403.3333333333333</v>
      </c>
    </row>
    <row r="36" spans="1:11" x14ac:dyDescent="0.25">
      <c r="A36" s="51" t="s">
        <v>23</v>
      </c>
      <c r="C36" s="51" t="s">
        <v>97</v>
      </c>
      <c r="D36" s="51" t="s">
        <v>52</v>
      </c>
      <c r="E36" s="51" t="s">
        <v>41</v>
      </c>
      <c r="F36" s="51">
        <v>978</v>
      </c>
      <c r="G36" s="51">
        <v>1083</v>
      </c>
      <c r="H36" s="51">
        <v>1144</v>
      </c>
      <c r="I36" s="51">
        <v>906</v>
      </c>
      <c r="J36" s="51">
        <v>1100</v>
      </c>
      <c r="K36" s="52">
        <f t="shared" si="3"/>
        <v>1053.6666666666667</v>
      </c>
    </row>
    <row r="37" spans="1:11" x14ac:dyDescent="0.25">
      <c r="A37" s="51" t="s">
        <v>24</v>
      </c>
      <c r="C37" s="51" t="s">
        <v>98</v>
      </c>
      <c r="D37" s="51" t="s">
        <v>52</v>
      </c>
      <c r="E37" s="51" t="s">
        <v>41</v>
      </c>
      <c r="F37" s="51">
        <v>855</v>
      </c>
      <c r="G37" s="51">
        <v>855</v>
      </c>
      <c r="H37" s="51">
        <v>1296</v>
      </c>
      <c r="I37" s="51">
        <v>855</v>
      </c>
      <c r="J37" s="51">
        <v>1308</v>
      </c>
      <c r="K37" s="52">
        <f t="shared" si="3"/>
        <v>1002</v>
      </c>
    </row>
    <row r="38" spans="1:11" x14ac:dyDescent="0.25">
      <c r="A38" s="51" t="s">
        <v>96</v>
      </c>
      <c r="C38" s="51" t="s">
        <v>99</v>
      </c>
      <c r="D38" s="51" t="s">
        <v>52</v>
      </c>
      <c r="E38" s="51" t="s">
        <v>41</v>
      </c>
      <c r="F38" s="51">
        <v>1336</v>
      </c>
      <c r="G38" s="51">
        <v>1112</v>
      </c>
      <c r="H38" s="51">
        <v>939</v>
      </c>
      <c r="I38" s="51">
        <v>1153</v>
      </c>
      <c r="J38" s="51">
        <v>1183</v>
      </c>
      <c r="K38" s="52">
        <f t="shared" si="3"/>
        <v>1149.3333333333333</v>
      </c>
    </row>
    <row r="39" spans="1:11" x14ac:dyDescent="0.25">
      <c r="A39" s="51" t="s">
        <v>97</v>
      </c>
      <c r="C39" s="51" t="s">
        <v>100</v>
      </c>
      <c r="D39" s="51" t="s">
        <v>52</v>
      </c>
      <c r="E39" s="51" t="s">
        <v>41</v>
      </c>
      <c r="F39" s="51">
        <v>1262</v>
      </c>
      <c r="G39" s="51">
        <v>665</v>
      </c>
      <c r="H39" s="51">
        <v>665</v>
      </c>
      <c r="I39" s="51">
        <v>727</v>
      </c>
      <c r="J39" s="51">
        <v>1308</v>
      </c>
      <c r="K39" s="52">
        <f t="shared" si="3"/>
        <v>884.66666666666663</v>
      </c>
    </row>
    <row r="40" spans="1:11" x14ac:dyDescent="0.25">
      <c r="A40" s="51" t="s">
        <v>98</v>
      </c>
      <c r="C40" s="51" t="s">
        <v>101</v>
      </c>
      <c r="D40" s="51" t="s">
        <v>52</v>
      </c>
      <c r="E40" s="51" t="s">
        <v>41</v>
      </c>
      <c r="F40" s="51">
        <v>978</v>
      </c>
      <c r="G40" s="51">
        <v>1083</v>
      </c>
      <c r="H40" s="51">
        <v>1144</v>
      </c>
      <c r="I40" s="51">
        <v>906</v>
      </c>
      <c r="J40" s="51">
        <v>1100</v>
      </c>
      <c r="K40" s="52">
        <f t="shared" si="3"/>
        <v>1053.6666666666667</v>
      </c>
    </row>
    <row r="41" spans="1:11" x14ac:dyDescent="0.25">
      <c r="A41" s="51" t="s">
        <v>124</v>
      </c>
      <c r="C41" s="51" t="s">
        <v>102</v>
      </c>
      <c r="D41" s="51" t="s">
        <v>52</v>
      </c>
      <c r="E41" s="51" t="s">
        <v>41</v>
      </c>
      <c r="F41" s="51">
        <v>1410</v>
      </c>
      <c r="G41" s="51">
        <v>1532</v>
      </c>
      <c r="H41" s="51">
        <v>834</v>
      </c>
      <c r="I41" s="51">
        <v>906</v>
      </c>
      <c r="J41" s="51">
        <v>1100</v>
      </c>
      <c r="K41" s="52">
        <f t="shared" si="3"/>
        <v>1138.6666666666667</v>
      </c>
    </row>
    <row r="42" spans="1:11" x14ac:dyDescent="0.25">
      <c r="A42" s="51" t="s">
        <v>100</v>
      </c>
      <c r="C42" s="51" t="s">
        <v>103</v>
      </c>
      <c r="D42" s="51" t="s">
        <v>52</v>
      </c>
      <c r="E42" s="51" t="s">
        <v>41</v>
      </c>
      <c r="F42" s="51">
        <v>1862</v>
      </c>
      <c r="G42" s="51">
        <v>1200</v>
      </c>
      <c r="H42" s="51">
        <v>1222</v>
      </c>
      <c r="I42" s="51">
        <v>923</v>
      </c>
      <c r="J42" s="51">
        <v>1100</v>
      </c>
      <c r="K42" s="52">
        <f t="shared" si="3"/>
        <v>1174</v>
      </c>
    </row>
    <row r="43" spans="1:11" x14ac:dyDescent="0.25">
      <c r="A43" s="51" t="s">
        <v>101</v>
      </c>
      <c r="C43" s="51" t="s">
        <v>104</v>
      </c>
      <c r="D43" s="51" t="s">
        <v>52</v>
      </c>
      <c r="E43" s="51" t="s">
        <v>41</v>
      </c>
      <c r="F43" s="51">
        <v>978</v>
      </c>
      <c r="G43" s="51">
        <v>1194</v>
      </c>
      <c r="H43" s="51">
        <v>665</v>
      </c>
      <c r="I43" s="51">
        <v>906</v>
      </c>
      <c r="J43" s="51">
        <v>1100</v>
      </c>
      <c r="K43" s="52">
        <f t="shared" si="3"/>
        <v>994.66666666666663</v>
      </c>
    </row>
    <row r="44" spans="1:11" x14ac:dyDescent="0.25">
      <c r="A44" s="51" t="s">
        <v>99</v>
      </c>
      <c r="C44" s="51" t="s">
        <v>105</v>
      </c>
      <c r="D44" s="51" t="s">
        <v>52</v>
      </c>
      <c r="E44" s="51" t="s">
        <v>41</v>
      </c>
      <c r="F44" s="51">
        <v>811</v>
      </c>
      <c r="G44" s="51">
        <v>601</v>
      </c>
      <c r="H44" s="51">
        <v>1084</v>
      </c>
      <c r="I44" s="51">
        <v>906</v>
      </c>
      <c r="J44" s="51">
        <v>1100</v>
      </c>
      <c r="K44" s="52">
        <f t="shared" si="3"/>
        <v>933.66666666666663</v>
      </c>
    </row>
    <row r="45" spans="1:11" x14ac:dyDescent="0.25">
      <c r="A45" s="51" t="s">
        <v>102</v>
      </c>
      <c r="C45" s="51" t="s">
        <v>106</v>
      </c>
      <c r="D45" s="51" t="s">
        <v>52</v>
      </c>
      <c r="E45" s="51" t="s">
        <v>41</v>
      </c>
      <c r="F45" s="51">
        <v>846</v>
      </c>
      <c r="G45" s="51">
        <v>1083</v>
      </c>
      <c r="H45" s="51">
        <v>1144</v>
      </c>
      <c r="I45" s="51">
        <v>906</v>
      </c>
      <c r="J45" s="51">
        <v>1100</v>
      </c>
      <c r="K45" s="52">
        <f t="shared" si="3"/>
        <v>1029.6666666666667</v>
      </c>
    </row>
    <row r="46" spans="1:11" x14ac:dyDescent="0.25">
      <c r="A46" s="51" t="s">
        <v>103</v>
      </c>
      <c r="C46" s="51" t="s">
        <v>107</v>
      </c>
      <c r="D46" s="51" t="s">
        <v>52</v>
      </c>
      <c r="E46" s="51" t="s">
        <v>41</v>
      </c>
      <c r="F46" s="51">
        <v>1732</v>
      </c>
      <c r="G46" s="51">
        <v>1532</v>
      </c>
      <c r="H46" s="51">
        <v>551</v>
      </c>
      <c r="I46" s="51">
        <v>1521</v>
      </c>
      <c r="J46" s="51">
        <v>1100</v>
      </c>
      <c r="K46" s="52">
        <f t="shared" si="3"/>
        <v>1384.3333333333333</v>
      </c>
    </row>
    <row r="47" spans="1:11" x14ac:dyDescent="0.25">
      <c r="A47" s="51" t="s">
        <v>104</v>
      </c>
      <c r="C47" s="51" t="s">
        <v>25</v>
      </c>
      <c r="D47" s="51" t="s">
        <v>52</v>
      </c>
      <c r="E47" s="51" t="s">
        <v>41</v>
      </c>
      <c r="F47" s="51">
        <v>1913</v>
      </c>
      <c r="G47" s="51">
        <v>1579</v>
      </c>
      <c r="H47" s="51">
        <v>1429</v>
      </c>
      <c r="I47" s="51">
        <v>1066</v>
      </c>
      <c r="J47" s="51">
        <v>1706</v>
      </c>
      <c r="K47" s="52">
        <f t="shared" si="3"/>
        <v>1571.3333333333333</v>
      </c>
    </row>
    <row r="48" spans="1:11" x14ac:dyDescent="0.25">
      <c r="A48" s="51" t="s">
        <v>105</v>
      </c>
      <c r="C48" s="51" t="s">
        <v>26</v>
      </c>
      <c r="D48" s="51" t="s">
        <v>52</v>
      </c>
      <c r="E48" s="51" t="s">
        <v>41</v>
      </c>
      <c r="F48" s="51">
        <v>1435</v>
      </c>
      <c r="G48" s="51">
        <v>1523</v>
      </c>
      <c r="H48" s="51">
        <v>1595</v>
      </c>
      <c r="I48" s="51">
        <v>872</v>
      </c>
      <c r="J48" s="51">
        <v>999</v>
      </c>
      <c r="K48" s="52">
        <f t="shared" si="3"/>
        <v>1319</v>
      </c>
    </row>
    <row r="49" spans="1:11" x14ac:dyDescent="0.25">
      <c r="A49" s="51" t="s">
        <v>106</v>
      </c>
      <c r="C49" s="51" t="s">
        <v>108</v>
      </c>
      <c r="D49" s="51" t="s">
        <v>52</v>
      </c>
      <c r="E49" s="51" t="s">
        <v>41</v>
      </c>
      <c r="F49" s="51">
        <v>1329</v>
      </c>
      <c r="G49" s="51">
        <v>1491</v>
      </c>
      <c r="H49" s="51">
        <v>1296</v>
      </c>
      <c r="I49" s="51">
        <v>874</v>
      </c>
      <c r="J49" s="51">
        <v>1100</v>
      </c>
      <c r="K49" s="52">
        <f t="shared" si="3"/>
        <v>1241.6666666666667</v>
      </c>
    </row>
    <row r="50" spans="1:11" x14ac:dyDescent="0.25">
      <c r="A50" s="51" t="s">
        <v>107</v>
      </c>
      <c r="C50" s="51" t="s">
        <v>27</v>
      </c>
      <c r="D50" s="51" t="s">
        <v>52</v>
      </c>
      <c r="E50" s="51" t="s">
        <v>41</v>
      </c>
      <c r="F50" s="51">
        <v>1526</v>
      </c>
      <c r="G50" s="51">
        <v>863</v>
      </c>
      <c r="H50" s="51">
        <v>665</v>
      </c>
      <c r="I50" s="51">
        <v>728</v>
      </c>
      <c r="J50" s="51">
        <v>1323</v>
      </c>
      <c r="K50" s="52">
        <f t="shared" si="3"/>
        <v>971.33333333333337</v>
      </c>
    </row>
    <row r="51" spans="1:11" x14ac:dyDescent="0.25">
      <c r="A51" s="51" t="s">
        <v>25</v>
      </c>
      <c r="C51" s="51" t="s">
        <v>109</v>
      </c>
      <c r="D51" s="51" t="s">
        <v>52</v>
      </c>
      <c r="E51" s="51" t="s">
        <v>41</v>
      </c>
      <c r="F51" s="51">
        <v>1497</v>
      </c>
      <c r="G51" s="51">
        <v>1499</v>
      </c>
      <c r="H51" s="51">
        <v>1531</v>
      </c>
      <c r="I51" s="51">
        <v>851</v>
      </c>
      <c r="J51" s="51">
        <v>1100</v>
      </c>
      <c r="K51" s="52">
        <f t="shared" si="3"/>
        <v>1365.3333333333333</v>
      </c>
    </row>
    <row r="52" spans="1:11" x14ac:dyDescent="0.25">
      <c r="A52" s="51" t="s">
        <v>26</v>
      </c>
      <c r="C52" s="51" t="s">
        <v>110</v>
      </c>
      <c r="D52" s="51" t="s">
        <v>52</v>
      </c>
      <c r="E52" s="51" t="s">
        <v>41</v>
      </c>
      <c r="F52" s="51">
        <v>978</v>
      </c>
      <c r="G52" s="51">
        <v>1083</v>
      </c>
      <c r="H52" s="51">
        <v>1144</v>
      </c>
      <c r="I52" s="51">
        <v>906</v>
      </c>
      <c r="J52" s="51">
        <v>1100</v>
      </c>
      <c r="K52" s="52">
        <f t="shared" si="3"/>
        <v>1053.6666666666667</v>
      </c>
    </row>
    <row r="53" spans="1:11" x14ac:dyDescent="0.25">
      <c r="A53" s="51" t="s">
        <v>108</v>
      </c>
      <c r="C53" s="51" t="s">
        <v>28</v>
      </c>
      <c r="D53" s="51" t="s">
        <v>52</v>
      </c>
      <c r="E53" s="51" t="s">
        <v>41</v>
      </c>
      <c r="F53" s="51">
        <v>1175</v>
      </c>
      <c r="G53" s="51">
        <v>863</v>
      </c>
      <c r="H53" s="51">
        <v>704</v>
      </c>
      <c r="I53" s="51">
        <v>728</v>
      </c>
      <c r="J53" s="51">
        <v>1323</v>
      </c>
      <c r="K53" s="52">
        <f t="shared" si="3"/>
        <v>922</v>
      </c>
    </row>
    <row r="54" spans="1:11" x14ac:dyDescent="0.25">
      <c r="A54" s="51" t="s">
        <v>27</v>
      </c>
      <c r="C54" s="51" t="s">
        <v>29</v>
      </c>
      <c r="D54" s="51" t="s">
        <v>52</v>
      </c>
      <c r="E54" s="51" t="s">
        <v>41</v>
      </c>
      <c r="F54" s="51">
        <v>1997</v>
      </c>
      <c r="G54" s="51">
        <v>1790</v>
      </c>
      <c r="H54" s="51">
        <v>1368</v>
      </c>
      <c r="I54" s="51">
        <v>812</v>
      </c>
      <c r="J54" s="51">
        <v>666</v>
      </c>
      <c r="K54" s="52">
        <f t="shared" si="3"/>
        <v>1323.3333333333333</v>
      </c>
    </row>
    <row r="55" spans="1:11" x14ac:dyDescent="0.25">
      <c r="A55" s="51" t="s">
        <v>109</v>
      </c>
      <c r="C55" s="51" t="s">
        <v>30</v>
      </c>
      <c r="D55" s="51" t="s">
        <v>52</v>
      </c>
      <c r="E55" s="51" t="s">
        <v>41</v>
      </c>
      <c r="F55" s="51">
        <v>1356</v>
      </c>
      <c r="G55" s="51">
        <v>1170</v>
      </c>
      <c r="H55" s="51">
        <v>845</v>
      </c>
      <c r="I55" s="51">
        <v>845</v>
      </c>
      <c r="J55" s="51">
        <v>1182</v>
      </c>
      <c r="K55" s="52">
        <f t="shared" si="3"/>
        <v>1065.6666666666667</v>
      </c>
    </row>
    <row r="56" spans="1:11" x14ac:dyDescent="0.25">
      <c r="A56" s="51" t="s">
        <v>110</v>
      </c>
      <c r="C56" s="51" t="s">
        <v>111</v>
      </c>
      <c r="D56" s="51" t="s">
        <v>52</v>
      </c>
      <c r="E56" s="51" t="s">
        <v>41</v>
      </c>
      <c r="F56" s="51">
        <v>1082</v>
      </c>
      <c r="G56" s="51">
        <v>1203</v>
      </c>
      <c r="H56" s="51">
        <v>1296</v>
      </c>
      <c r="I56" s="51">
        <v>781</v>
      </c>
      <c r="J56" s="51">
        <v>1100</v>
      </c>
      <c r="K56" s="52">
        <f t="shared" si="3"/>
        <v>1128.3333333333333</v>
      </c>
    </row>
    <row r="57" spans="1:11" x14ac:dyDescent="0.25">
      <c r="A57" s="51" t="s">
        <v>28</v>
      </c>
      <c r="C57" s="51" t="s">
        <v>112</v>
      </c>
      <c r="D57" s="51" t="s">
        <v>52</v>
      </c>
      <c r="E57" s="51" t="s">
        <v>41</v>
      </c>
      <c r="F57" s="51">
        <v>1581</v>
      </c>
      <c r="G57" s="51">
        <v>1194</v>
      </c>
      <c r="H57" s="51">
        <v>818</v>
      </c>
      <c r="I57" s="51">
        <v>818</v>
      </c>
      <c r="J57" s="51">
        <v>1308</v>
      </c>
      <c r="K57" s="52">
        <f t="shared" si="3"/>
        <v>1106.6666666666667</v>
      </c>
    </row>
    <row r="58" spans="1:11" x14ac:dyDescent="0.25">
      <c r="A58" s="51" t="s">
        <v>29</v>
      </c>
      <c r="C58" s="51" t="s">
        <v>113</v>
      </c>
      <c r="D58" s="51" t="s">
        <v>52</v>
      </c>
      <c r="E58" s="51" t="s">
        <v>41</v>
      </c>
      <c r="F58" s="51">
        <v>978</v>
      </c>
      <c r="G58" s="51">
        <v>1083</v>
      </c>
      <c r="H58" s="51">
        <v>1144</v>
      </c>
      <c r="I58" s="51">
        <v>906</v>
      </c>
      <c r="J58" s="51">
        <v>1100</v>
      </c>
      <c r="K58" s="52">
        <f t="shared" si="3"/>
        <v>1053.6666666666667</v>
      </c>
    </row>
    <row r="59" spans="1:11" x14ac:dyDescent="0.25">
      <c r="A59" s="51" t="s">
        <v>30</v>
      </c>
      <c r="C59" s="51" t="s">
        <v>114</v>
      </c>
      <c r="D59" s="51" t="s">
        <v>52</v>
      </c>
      <c r="E59" s="51" t="s">
        <v>41</v>
      </c>
      <c r="F59" s="51">
        <v>1503</v>
      </c>
      <c r="G59" s="51">
        <v>1068</v>
      </c>
      <c r="H59" s="51">
        <v>1161</v>
      </c>
      <c r="I59" s="51">
        <v>849</v>
      </c>
      <c r="J59" s="51">
        <v>1100</v>
      </c>
      <c r="K59" s="52">
        <f t="shared" si="3"/>
        <v>1109.6666666666667</v>
      </c>
    </row>
    <row r="60" spans="1:11" x14ac:dyDescent="0.25">
      <c r="A60" s="51" t="s">
        <v>111</v>
      </c>
      <c r="C60" s="51" t="s">
        <v>115</v>
      </c>
      <c r="D60" s="51" t="s">
        <v>52</v>
      </c>
      <c r="E60" s="51" t="s">
        <v>41</v>
      </c>
      <c r="F60" s="51">
        <v>1336</v>
      </c>
      <c r="G60" s="51">
        <v>1048</v>
      </c>
      <c r="H60" s="51">
        <v>786</v>
      </c>
      <c r="I60" s="51">
        <v>727</v>
      </c>
      <c r="J60" s="51">
        <v>1308</v>
      </c>
      <c r="K60" s="52">
        <f t="shared" si="3"/>
        <v>1047.3333333333333</v>
      </c>
    </row>
    <row r="61" spans="1:11" x14ac:dyDescent="0.25">
      <c r="A61" s="51" t="s">
        <v>112</v>
      </c>
      <c r="C61" s="51" t="s">
        <v>116</v>
      </c>
      <c r="D61" s="51" t="s">
        <v>52</v>
      </c>
      <c r="E61" s="51" t="s">
        <v>41</v>
      </c>
      <c r="F61" s="51">
        <v>1336</v>
      </c>
      <c r="G61" s="51">
        <v>1194</v>
      </c>
      <c r="H61" s="51">
        <v>1296</v>
      </c>
      <c r="I61" s="51">
        <v>816</v>
      </c>
      <c r="J61" s="51">
        <v>1308</v>
      </c>
      <c r="K61" s="52">
        <f t="shared" si="3"/>
        <v>1266</v>
      </c>
    </row>
    <row r="62" spans="1:11" x14ac:dyDescent="0.25">
      <c r="A62" s="51" t="s">
        <v>113</v>
      </c>
      <c r="C62" s="51" t="s">
        <v>117</v>
      </c>
      <c r="D62" s="51" t="s">
        <v>52</v>
      </c>
      <c r="E62" s="51" t="s">
        <v>41</v>
      </c>
      <c r="F62" s="51">
        <v>1336</v>
      </c>
      <c r="G62" s="51">
        <v>1076</v>
      </c>
      <c r="H62" s="51">
        <v>1296</v>
      </c>
      <c r="I62" s="51">
        <v>781</v>
      </c>
      <c r="J62" s="51">
        <v>1350</v>
      </c>
      <c r="K62" s="52">
        <f t="shared" si="3"/>
        <v>1236</v>
      </c>
    </row>
    <row r="63" spans="1:11" x14ac:dyDescent="0.25">
      <c r="A63" s="51" t="s">
        <v>114</v>
      </c>
      <c r="C63" s="51" t="s">
        <v>31</v>
      </c>
      <c r="D63" s="51" t="s">
        <v>52</v>
      </c>
      <c r="E63" s="51" t="s">
        <v>41</v>
      </c>
      <c r="F63" s="51">
        <v>1195</v>
      </c>
      <c r="G63" s="51">
        <v>1733</v>
      </c>
      <c r="H63" s="51">
        <v>1062</v>
      </c>
      <c r="I63" s="51">
        <v>1062</v>
      </c>
      <c r="J63" s="51">
        <v>1403</v>
      </c>
      <c r="K63" s="52">
        <f t="shared" si="3"/>
        <v>1220</v>
      </c>
    </row>
    <row r="64" spans="1:11" x14ac:dyDescent="0.25">
      <c r="A64" s="51" t="s">
        <v>115</v>
      </c>
      <c r="C64" s="51" t="s">
        <v>32</v>
      </c>
      <c r="D64" s="51" t="s">
        <v>52</v>
      </c>
      <c r="E64" s="51" t="s">
        <v>41</v>
      </c>
      <c r="F64" s="51">
        <v>1175</v>
      </c>
      <c r="G64" s="51">
        <v>863</v>
      </c>
      <c r="H64" s="51">
        <v>665</v>
      </c>
      <c r="I64" s="51">
        <v>728</v>
      </c>
      <c r="J64" s="51">
        <v>1323</v>
      </c>
      <c r="K64" s="52">
        <f t="shared" si="3"/>
        <v>922</v>
      </c>
    </row>
    <row r="65" spans="1:11" x14ac:dyDescent="0.25">
      <c r="A65" s="51" t="s">
        <v>116</v>
      </c>
      <c r="C65" s="51" t="s">
        <v>118</v>
      </c>
      <c r="D65" s="51" t="s">
        <v>52</v>
      </c>
      <c r="E65" s="51" t="s">
        <v>41</v>
      </c>
      <c r="F65" s="51">
        <v>1643</v>
      </c>
      <c r="G65" s="51">
        <v>1971</v>
      </c>
      <c r="H65" s="51">
        <v>1063</v>
      </c>
      <c r="I65" s="51">
        <v>1274</v>
      </c>
      <c r="J65" s="51">
        <v>1100</v>
      </c>
      <c r="K65" s="52">
        <f t="shared" si="3"/>
        <v>1339</v>
      </c>
    </row>
    <row r="66" spans="1:11" x14ac:dyDescent="0.25">
      <c r="A66" s="51" t="s">
        <v>117</v>
      </c>
      <c r="C66" s="51" t="s">
        <v>34</v>
      </c>
      <c r="D66" s="51" t="s">
        <v>52</v>
      </c>
      <c r="E66" s="51" t="s">
        <v>41</v>
      </c>
      <c r="F66" s="51">
        <v>1485</v>
      </c>
      <c r="G66" s="51">
        <v>1541</v>
      </c>
      <c r="H66" s="51">
        <v>1710</v>
      </c>
      <c r="I66" s="51">
        <v>1317</v>
      </c>
      <c r="J66" s="51">
        <v>1349</v>
      </c>
      <c r="K66" s="52">
        <f t="shared" si="3"/>
        <v>1458.3333333333333</v>
      </c>
    </row>
    <row r="67" spans="1:11" x14ac:dyDescent="0.25">
      <c r="A67" s="51" t="s">
        <v>31</v>
      </c>
      <c r="C67" s="51" t="s">
        <v>35</v>
      </c>
      <c r="D67" s="51" t="s">
        <v>52</v>
      </c>
      <c r="E67" s="51" t="s">
        <v>41</v>
      </c>
      <c r="F67" s="51">
        <v>1175</v>
      </c>
      <c r="G67" s="51">
        <v>863</v>
      </c>
      <c r="H67" s="51">
        <v>706</v>
      </c>
      <c r="I67" s="51">
        <v>728</v>
      </c>
      <c r="J67" s="51">
        <v>1323</v>
      </c>
      <c r="K67" s="52">
        <f t="shared" ref="K67:K72" si="4">(SUM(F67:J67)-MAX(F67:J67)-MIN(F67:J67))/3</f>
        <v>922</v>
      </c>
    </row>
    <row r="68" spans="1:11" x14ac:dyDescent="0.25">
      <c r="A68" s="51" t="s">
        <v>32</v>
      </c>
      <c r="C68" s="51" t="s">
        <v>36</v>
      </c>
      <c r="D68" s="51" t="s">
        <v>52</v>
      </c>
      <c r="E68" s="51" t="s">
        <v>41</v>
      </c>
      <c r="F68" s="51">
        <v>1335</v>
      </c>
      <c r="G68" s="51">
        <v>1564</v>
      </c>
      <c r="H68" s="51">
        <v>847</v>
      </c>
      <c r="I68" s="51">
        <v>1469</v>
      </c>
      <c r="J68" s="51">
        <v>1311</v>
      </c>
      <c r="K68" s="52">
        <f t="shared" si="4"/>
        <v>1371.6666666666667</v>
      </c>
    </row>
    <row r="69" spans="1:11" x14ac:dyDescent="0.25">
      <c r="A69" s="51" t="s">
        <v>118</v>
      </c>
      <c r="C69" s="51" t="s">
        <v>37</v>
      </c>
      <c r="D69" s="51" t="s">
        <v>52</v>
      </c>
      <c r="E69" s="51" t="s">
        <v>41</v>
      </c>
      <c r="F69" s="51">
        <v>1635</v>
      </c>
      <c r="G69" s="51">
        <v>1239</v>
      </c>
      <c r="H69" s="51">
        <v>665</v>
      </c>
      <c r="I69" s="51">
        <v>665</v>
      </c>
      <c r="J69" s="51">
        <v>1291</v>
      </c>
      <c r="K69" s="52">
        <f t="shared" si="4"/>
        <v>1065</v>
      </c>
    </row>
    <row r="70" spans="1:11" x14ac:dyDescent="0.25">
      <c r="A70" s="51" t="s">
        <v>125</v>
      </c>
      <c r="C70" s="51" t="s">
        <v>119</v>
      </c>
      <c r="D70" s="51" t="s">
        <v>52</v>
      </c>
      <c r="E70" s="51" t="s">
        <v>41</v>
      </c>
      <c r="F70" s="51">
        <v>1732</v>
      </c>
      <c r="G70" s="51">
        <v>1201</v>
      </c>
      <c r="H70" s="51">
        <v>1157</v>
      </c>
      <c r="I70" s="51">
        <v>1521</v>
      </c>
      <c r="J70" s="51">
        <v>1100</v>
      </c>
      <c r="K70" s="52">
        <f t="shared" si="4"/>
        <v>1293</v>
      </c>
    </row>
    <row r="71" spans="1:11" x14ac:dyDescent="0.25">
      <c r="A71" s="51" t="s">
        <v>33</v>
      </c>
      <c r="C71" s="51" t="s">
        <v>120</v>
      </c>
      <c r="D71" s="51" t="s">
        <v>52</v>
      </c>
      <c r="E71" s="51" t="s">
        <v>41</v>
      </c>
      <c r="F71" s="51">
        <v>1497</v>
      </c>
      <c r="G71" s="51">
        <v>1083</v>
      </c>
      <c r="H71" s="51">
        <v>1296</v>
      </c>
      <c r="I71" s="51">
        <v>781</v>
      </c>
      <c r="J71" s="51">
        <v>1100</v>
      </c>
      <c r="K71" s="52">
        <f t="shared" si="4"/>
        <v>1159.6666666666667</v>
      </c>
    </row>
    <row r="72" spans="1:11" x14ac:dyDescent="0.25">
      <c r="A72" s="51" t="s">
        <v>34</v>
      </c>
      <c r="C72" s="51" t="s">
        <v>121</v>
      </c>
      <c r="D72" s="51" t="s">
        <v>52</v>
      </c>
      <c r="E72" s="51" t="s">
        <v>41</v>
      </c>
      <c r="F72" s="51">
        <v>978</v>
      </c>
      <c r="G72" s="51">
        <v>1083</v>
      </c>
      <c r="H72" s="51">
        <v>1144</v>
      </c>
      <c r="I72" s="51">
        <v>906</v>
      </c>
      <c r="J72" s="51">
        <v>1100</v>
      </c>
      <c r="K72" s="52">
        <f t="shared" si="4"/>
        <v>1053.6666666666667</v>
      </c>
    </row>
    <row r="73" spans="1:11" x14ac:dyDescent="0.25">
      <c r="A73" s="51" t="s">
        <v>35</v>
      </c>
    </row>
    <row r="74" spans="1:11" x14ac:dyDescent="0.25">
      <c r="A74" s="51" t="s">
        <v>126</v>
      </c>
    </row>
    <row r="75" spans="1:11" x14ac:dyDescent="0.25">
      <c r="A75" s="51" t="s">
        <v>36</v>
      </c>
    </row>
    <row r="76" spans="1:11" x14ac:dyDescent="0.25">
      <c r="A76" s="51" t="s">
        <v>37</v>
      </c>
    </row>
    <row r="77" spans="1:11" x14ac:dyDescent="0.25">
      <c r="A77" s="51" t="s">
        <v>38</v>
      </c>
    </row>
    <row r="78" spans="1:11" x14ac:dyDescent="0.25">
      <c r="A78" s="51" t="s">
        <v>119</v>
      </c>
    </row>
    <row r="79" spans="1:11" x14ac:dyDescent="0.25">
      <c r="A79" s="51" t="s">
        <v>39</v>
      </c>
    </row>
    <row r="80" spans="1:11" x14ac:dyDescent="0.25">
      <c r="A80" s="51" t="s">
        <v>120</v>
      </c>
    </row>
    <row r="81" spans="1:1" x14ac:dyDescent="0.25">
      <c r="A81" s="51" t="s">
        <v>127</v>
      </c>
    </row>
    <row r="82" spans="1:1" x14ac:dyDescent="0.25">
      <c r="A82" s="51" t="s">
        <v>121</v>
      </c>
    </row>
  </sheetData>
  <sheetProtection algorithmName="SHA-512" hashValue="g4MIxmmSFWOxEhYS4PhoRlM2D3ozjt6u5Hf3hG7vKw/L9/XkLaidFVKihbY7rW9b+4r7JCIrDUkgo5u4mW8ZJQ==" saltValue="MxdMuyp+uajC/FHFEKXl1g==" spinCount="100000" sheet="1" objects="1" scenarios="1"/>
  <sortState ref="C3:K34">
    <sortCondition ref="E3:E34"/>
  </sortState>
  <mergeCells count="3">
    <mergeCell ref="C1:K1"/>
    <mergeCell ref="M1:U1"/>
    <mergeCell ref="W1:A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J3" sqref="J3"/>
    </sheetView>
  </sheetViews>
  <sheetFormatPr defaultRowHeight="15" x14ac:dyDescent="0.25"/>
  <cols>
    <col min="3" max="3" width="11.85546875" customWidth="1"/>
    <col min="4" max="4" width="12.42578125" customWidth="1"/>
    <col min="5" max="5" width="11.7109375" customWidth="1"/>
    <col min="6" max="6" width="10.42578125" customWidth="1"/>
    <col min="7" max="7" width="13" customWidth="1"/>
    <col min="8" max="8" width="12.28515625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30.75" thickBot="1" x14ac:dyDescent="0.3">
      <c r="A2" s="21">
        <f>'PLC vs ARC payment'!J7*0.86</f>
        <v>0.1978</v>
      </c>
      <c r="B2" s="1"/>
      <c r="C2" s="34" t="s">
        <v>56</v>
      </c>
      <c r="D2" s="35" t="s">
        <v>57</v>
      </c>
      <c r="E2" s="35" t="s">
        <v>58</v>
      </c>
      <c r="F2" s="35" t="s">
        <v>59</v>
      </c>
      <c r="G2" s="35" t="s">
        <v>60</v>
      </c>
      <c r="H2" s="35" t="s">
        <v>61</v>
      </c>
    </row>
    <row r="3" spans="1:8" ht="30" x14ac:dyDescent="0.25">
      <c r="A3" s="33">
        <f>'PLC vs ARC payment'!N7-A2</f>
        <v>3.7000000000000088E-3</v>
      </c>
      <c r="B3" s="1"/>
      <c r="C3" s="36" t="s">
        <v>62</v>
      </c>
      <c r="D3" s="62">
        <v>0.2069</v>
      </c>
      <c r="E3" s="62">
        <v>0.18990000000000001</v>
      </c>
      <c r="F3" s="62">
        <v>0.1956</v>
      </c>
      <c r="G3" s="62">
        <v>0.2011</v>
      </c>
      <c r="H3" s="62">
        <v>0.2082</v>
      </c>
    </row>
    <row r="4" spans="1:8" ht="15.75" thickBot="1" x14ac:dyDescent="0.3">
      <c r="A4" s="1"/>
      <c r="B4" s="1"/>
      <c r="C4" s="37" t="s">
        <v>63</v>
      </c>
      <c r="D4" s="63"/>
      <c r="E4" s="63"/>
      <c r="F4" s="63"/>
      <c r="G4" s="63"/>
      <c r="H4" s="63"/>
    </row>
    <row r="5" spans="1:8" ht="58.5" thickBot="1" x14ac:dyDescent="0.3">
      <c r="A5" s="1"/>
      <c r="B5" s="1"/>
      <c r="C5" s="38" t="s">
        <v>64</v>
      </c>
      <c r="D5" s="40">
        <v>0</v>
      </c>
      <c r="E5" s="40">
        <v>1.1599999999999999E-2</v>
      </c>
      <c r="F5" s="40">
        <v>5.8999999999999999E-3</v>
      </c>
      <c r="G5" s="40">
        <v>4.0000000000000002E-4</v>
      </c>
      <c r="H5" s="40">
        <v>0</v>
      </c>
    </row>
    <row r="6" spans="1:8" ht="75.75" thickBot="1" x14ac:dyDescent="0.3">
      <c r="A6" s="1"/>
      <c r="B6" s="1"/>
      <c r="C6" s="38" t="s">
        <v>65</v>
      </c>
      <c r="D6" s="40">
        <v>0</v>
      </c>
      <c r="E6" s="40">
        <f>0.2015-E3</f>
        <v>1.1599999999999999E-2</v>
      </c>
      <c r="F6" s="40">
        <f>0.2015-F3</f>
        <v>5.9000000000000163E-3</v>
      </c>
      <c r="G6" s="40">
        <f>0.2015-G3</f>
        <v>4.0000000000001146E-4</v>
      </c>
      <c r="H6" s="40">
        <v>0</v>
      </c>
    </row>
    <row r="7" spans="1:8" x14ac:dyDescent="0.25">
      <c r="A7" s="1"/>
      <c r="B7" s="1"/>
      <c r="C7" s="1" t="s">
        <v>66</v>
      </c>
      <c r="D7" s="41">
        <f>D6*1100</f>
        <v>0</v>
      </c>
      <c r="E7" s="41">
        <f>E6*1100</f>
        <v>12.76</v>
      </c>
      <c r="F7" s="41">
        <f>F6*1100</f>
        <v>6.490000000000018</v>
      </c>
      <c r="G7" s="41">
        <f>G6*1100</f>
        <v>0.4400000000000126</v>
      </c>
      <c r="H7" s="41">
        <f>H6*1100</f>
        <v>0</v>
      </c>
    </row>
    <row r="8" spans="1:8" x14ac:dyDescent="0.25">
      <c r="A8" s="1"/>
      <c r="B8" s="1"/>
      <c r="C8" s="1" t="s">
        <v>67</v>
      </c>
      <c r="D8" s="41">
        <f>D7*100*0.85</f>
        <v>0</v>
      </c>
      <c r="E8" s="41">
        <f>E7*100*0.85</f>
        <v>1084.5999999999999</v>
      </c>
      <c r="F8" s="41">
        <f>F7*100*0.85</f>
        <v>551.65000000000157</v>
      </c>
      <c r="G8" s="41">
        <f>G7*100*0.85</f>
        <v>37.400000000001071</v>
      </c>
      <c r="H8" s="41">
        <f>H7*100*0.85</f>
        <v>0</v>
      </c>
    </row>
    <row r="9" spans="1:8" ht="15.75" thickBot="1" x14ac:dyDescent="0.3">
      <c r="A9" s="21"/>
      <c r="B9" s="1"/>
      <c r="C9" s="1"/>
      <c r="D9" s="39"/>
      <c r="E9" s="39"/>
      <c r="F9" s="39"/>
      <c r="G9" s="39"/>
      <c r="H9" s="39"/>
    </row>
    <row r="10" spans="1:8" ht="30.75" thickBot="1" x14ac:dyDescent="0.3">
      <c r="A10" s="21"/>
      <c r="B10" s="1"/>
      <c r="C10" s="1"/>
      <c r="D10" s="42" t="s">
        <v>68</v>
      </c>
      <c r="E10" s="43" t="s">
        <v>69</v>
      </c>
      <c r="F10" s="43" t="s">
        <v>70</v>
      </c>
      <c r="G10" s="43" t="s">
        <v>71</v>
      </c>
      <c r="H10" s="43" t="s">
        <v>72</v>
      </c>
    </row>
    <row r="11" spans="1:8" ht="15.75" thickBot="1" x14ac:dyDescent="0.3">
      <c r="A11" s="1"/>
      <c r="B11" s="1"/>
      <c r="C11" s="1"/>
      <c r="D11" s="48">
        <v>0.20150000000000001</v>
      </c>
      <c r="E11" s="49">
        <v>0.23300000000000001</v>
      </c>
      <c r="F11" s="49">
        <v>0.29099999999999998</v>
      </c>
      <c r="G11" s="49">
        <v>0.254</v>
      </c>
      <c r="H11" s="49">
        <v>0.214</v>
      </c>
    </row>
    <row r="12" spans="1:8" ht="15.75" thickBot="1" x14ac:dyDescent="0.3">
      <c r="A12" s="1"/>
      <c r="B12" s="1"/>
      <c r="C12" s="1"/>
      <c r="D12" s="1"/>
      <c r="E12" s="1"/>
      <c r="F12" s="1"/>
      <c r="G12" s="1"/>
      <c r="H12" s="1"/>
    </row>
    <row r="13" spans="1:8" ht="30.75" thickBot="1" x14ac:dyDescent="0.3">
      <c r="A13" s="1"/>
      <c r="B13" s="1"/>
      <c r="C13" s="44" t="s">
        <v>56</v>
      </c>
      <c r="D13" s="45" t="s">
        <v>57</v>
      </c>
      <c r="E13" s="45" t="s">
        <v>58</v>
      </c>
      <c r="F13" s="45" t="s">
        <v>59</v>
      </c>
      <c r="G13" s="45" t="s">
        <v>60</v>
      </c>
      <c r="H13" s="45" t="s">
        <v>61</v>
      </c>
    </row>
    <row r="14" spans="1:8" ht="46.5" thickTop="1" thickBot="1" x14ac:dyDescent="0.3">
      <c r="A14" s="1"/>
      <c r="B14" s="1"/>
      <c r="C14" s="46" t="s">
        <v>73</v>
      </c>
      <c r="D14" s="47">
        <v>0.2069</v>
      </c>
      <c r="E14" s="47">
        <v>0.18990000000000001</v>
      </c>
      <c r="F14" s="47">
        <v>0.1956</v>
      </c>
      <c r="G14" s="47">
        <v>0.2011</v>
      </c>
      <c r="H14" s="47">
        <v>0.2082</v>
      </c>
    </row>
    <row r="15" spans="1:8" ht="30.75" thickBot="1" x14ac:dyDescent="0.3">
      <c r="A15" s="1"/>
      <c r="B15" s="1"/>
      <c r="C15" s="46" t="s">
        <v>74</v>
      </c>
      <c r="D15" s="47">
        <v>0.23</v>
      </c>
      <c r="E15" s="47">
        <f>AVERAGE(E11,G11,H11)</f>
        <v>0.23366666666666666</v>
      </c>
      <c r="F15" s="47">
        <f>AVERAGE(G11,H11,D14)</f>
        <v>0.22496666666666665</v>
      </c>
      <c r="G15" s="47">
        <f>AVERAGE(H11,D14,F14)</f>
        <v>0.20550000000000002</v>
      </c>
      <c r="H15" s="47">
        <f>AVERAGE(D14,F14,G14)</f>
        <v>0.20119999999999996</v>
      </c>
    </row>
    <row r="16" spans="1:8" x14ac:dyDescent="0.25">
      <c r="A16" s="1"/>
      <c r="B16" s="1"/>
      <c r="C16" s="1"/>
      <c r="D16" s="1">
        <f>D15*0.86</f>
        <v>0.1978</v>
      </c>
      <c r="E16" s="1">
        <f>E15*0.86</f>
        <v>0.20095333333333332</v>
      </c>
      <c r="F16" s="1">
        <f>F15*0.86</f>
        <v>0.1934713333333333</v>
      </c>
      <c r="G16" s="1">
        <f>G15*0.86</f>
        <v>0.17673</v>
      </c>
      <c r="H16" s="1">
        <f>H15*0.86</f>
        <v>0.17303199999999996</v>
      </c>
    </row>
    <row r="17" spans="1:8" x14ac:dyDescent="0.25">
      <c r="A17" s="1"/>
      <c r="B17" s="1"/>
      <c r="C17" s="1"/>
      <c r="D17" s="50">
        <f>D16-D14</f>
        <v>-9.099999999999997E-3</v>
      </c>
      <c r="E17" s="50">
        <f>E16-E14</f>
        <v>1.1053333333333304E-2</v>
      </c>
      <c r="F17" s="50">
        <f>F16-F14</f>
        <v>-2.1286666666666954E-3</v>
      </c>
      <c r="G17" s="50">
        <f>G16-G14</f>
        <v>-2.4370000000000003E-2</v>
      </c>
      <c r="H17" s="50">
        <f>H16-H14</f>
        <v>-3.5168000000000033E-2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>
        <f>0.2015-D16</f>
        <v>3.7000000000000088E-3</v>
      </c>
      <c r="E19" s="1">
        <f>0.2015-E16</f>
        <v>5.4666666666669528E-4</v>
      </c>
      <c r="F19" s="1">
        <f>0.2015-F16</f>
        <v>8.0286666666667117E-3</v>
      </c>
      <c r="G19" s="1">
        <f>0.2015-G16</f>
        <v>2.4770000000000014E-2</v>
      </c>
      <c r="H19" s="1">
        <f>0.2015-H16</f>
        <v>2.8468000000000049E-2</v>
      </c>
    </row>
  </sheetData>
  <mergeCells count="5"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PLC vs ARC payment</vt:lpstr>
      <vt:lpstr>Data</vt:lpstr>
      <vt:lpstr>Publication Calculations</vt:lpstr>
      <vt:lpstr>Irrigation</vt:lpstr>
      <vt:lpstr>SunCounties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robinreid</cp:lastModifiedBy>
  <cp:lastPrinted>2014-08-08T18:54:40Z</cp:lastPrinted>
  <dcterms:created xsi:type="dcterms:W3CDTF">2013-11-25T15:30:51Z</dcterms:created>
  <dcterms:modified xsi:type="dcterms:W3CDTF">2015-02-13T17:13:55Z</dcterms:modified>
</cp:coreProperties>
</file>