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TEMP FOLDER\________MISC.____________\CONSULTING\Merck-SLA(Renter)\"/>
    </mc:Choice>
  </mc:AlternateContent>
  <workbookProtection workbookAlgorithmName="SHA-512" workbookHashValue="HRyfQovqbozYrsBiaMLlOk5H562w0L/3AJHbAdsALrRxk0wO28uZAroxdxs+/pmYghKsKuE93OhzSOGsbqgSWA==" workbookSaltValue="PFg4IoCi6hvDFt4inP+org==" workbookSpinCount="100000" lockStructure="1"/>
  <bookViews>
    <workbookView xWindow="0" yWindow="0" windowWidth="28800" windowHeight="11700"/>
  </bookViews>
  <sheets>
    <sheet name="Introduction" sheetId="1" r:id="rId1"/>
    <sheet name="User Input Worksheet" sheetId="2" r:id="rId2"/>
    <sheet name="Results" sheetId="4" r:id="rId3"/>
    <sheet name="Background Information" sheetId="3" state="hidden" r:id="rId4"/>
  </sheets>
  <definedNames>
    <definedName name="_xlnm.Print_Area" localSheetId="0">Introduction!$A$1:$M$57</definedName>
    <definedName name="_xlnm.Print_Area" localSheetId="1">'User Input Worksheet'!$A$1:$I$53</definedName>
  </definedNames>
  <calcPr calcId="162913" iterate="1" iterateCount="100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4" l="1"/>
  <c r="A9" i="3"/>
  <c r="A10" i="3"/>
  <c r="A11" i="3"/>
  <c r="A12" i="3"/>
  <c r="A13" i="3"/>
  <c r="A8" i="3"/>
  <c r="N27" i="3"/>
  <c r="H14" i="3" l="1"/>
  <c r="J14" i="3"/>
  <c r="E14" i="3"/>
  <c r="F14" i="3"/>
  <c r="I14" i="3"/>
  <c r="G14" i="3"/>
  <c r="C19" i="4"/>
  <c r="H7" i="2" l="1"/>
  <c r="I9" i="2"/>
  <c r="B21" i="4" s="1"/>
  <c r="S27" i="3"/>
  <c r="R27" i="3"/>
  <c r="Q27" i="3"/>
  <c r="P27" i="3"/>
  <c r="O27" i="3"/>
  <c r="P42" i="3"/>
  <c r="V40" i="3"/>
  <c r="U34" i="3" l="1"/>
  <c r="U29" i="3"/>
  <c r="U30" i="3"/>
  <c r="I6" i="2"/>
  <c r="I18" i="2"/>
  <c r="I17" i="2"/>
  <c r="I43" i="2"/>
  <c r="I42" i="2"/>
  <c r="I7" i="2"/>
  <c r="G44" i="2"/>
  <c r="E9" i="4" s="1"/>
  <c r="G45" i="2"/>
  <c r="E10" i="4" s="1"/>
  <c r="G46" i="2"/>
  <c r="E11" i="4" s="1"/>
  <c r="G43" i="2"/>
  <c r="E8" i="4" s="1"/>
  <c r="G42" i="2"/>
  <c r="E7" i="4" s="1"/>
  <c r="F43" i="2"/>
  <c r="D8" i="4" s="1"/>
  <c r="F44" i="2"/>
  <c r="D9" i="4" s="1"/>
  <c r="F45" i="2"/>
  <c r="D10" i="4" s="1"/>
  <c r="F46" i="2"/>
  <c r="F42" i="2"/>
  <c r="D7" i="4" s="1"/>
  <c r="F19" i="3"/>
  <c r="V54" i="3"/>
  <c r="V53" i="3"/>
  <c r="V51" i="3"/>
  <c r="V50" i="3"/>
  <c r="V48" i="3"/>
  <c r="V47" i="3"/>
  <c r="V45" i="3"/>
  <c r="V44" i="3"/>
  <c r="V41" i="3"/>
  <c r="V42" i="3"/>
  <c r="V38" i="3"/>
  <c r="V37" i="3"/>
  <c r="V34" i="3"/>
  <c r="V35" i="3"/>
  <c r="V33" i="3"/>
  <c r="V30" i="3"/>
  <c r="V31" i="3"/>
  <c r="V29" i="3"/>
  <c r="U40" i="3"/>
  <c r="G19" i="3"/>
  <c r="H19" i="3"/>
  <c r="I19" i="3"/>
  <c r="J19" i="3"/>
  <c r="C18" i="4"/>
  <c r="C17" i="4"/>
  <c r="C15" i="4"/>
  <c r="B16" i="4"/>
  <c r="B17" i="4"/>
  <c r="B18" i="4"/>
  <c r="B19" i="4"/>
  <c r="B15" i="4"/>
  <c r="E6" i="4"/>
  <c r="D6" i="4"/>
  <c r="U48" i="3" l="1"/>
  <c r="U35" i="3"/>
  <c r="U50" i="3"/>
  <c r="U44" i="3"/>
  <c r="U38" i="3"/>
  <c r="U47" i="3"/>
  <c r="U45" i="3"/>
  <c r="U42" i="3"/>
  <c r="U41" i="3"/>
  <c r="U31" i="3"/>
  <c r="W29" i="3" s="1"/>
  <c r="U37" i="3"/>
  <c r="U54" i="3"/>
  <c r="U33" i="3"/>
  <c r="U53" i="3"/>
  <c r="U51" i="3"/>
  <c r="W40" i="3" l="1"/>
  <c r="W47" i="3"/>
  <c r="W53" i="3"/>
  <c r="W50" i="3"/>
  <c r="W33" i="3"/>
  <c r="W44" i="3"/>
  <c r="W37" i="3"/>
  <c r="W27" i="3" l="1"/>
  <c r="W139" i="3"/>
  <c r="W140" i="3"/>
  <c r="W141" i="3" s="1"/>
  <c r="W142" i="3" s="1"/>
  <c r="W143" i="3" s="1"/>
  <c r="W144" i="3" s="1"/>
  <c r="W145" i="3" s="1"/>
  <c r="W146" i="3" s="1"/>
  <c r="W147" i="3" s="1"/>
  <c r="W148" i="3" s="1"/>
  <c r="W149" i="3" s="1"/>
  <c r="W150" i="3" s="1"/>
  <c r="W151" i="3" s="1"/>
  <c r="W152" i="3" s="1"/>
  <c r="W153" i="3" s="1"/>
  <c r="W154" i="3" s="1"/>
  <c r="W155" i="3" s="1"/>
  <c r="W156" i="3" s="1"/>
  <c r="W157" i="3" s="1"/>
  <c r="W158" i="3" s="1"/>
  <c r="W162" i="3"/>
  <c r="W163" i="3" s="1"/>
  <c r="W164" i="3" s="1"/>
  <c r="W165" i="3" s="1"/>
  <c r="W166" i="3" s="1"/>
  <c r="W167" i="3" s="1"/>
  <c r="W168" i="3" s="1"/>
  <c r="W169" i="3" s="1"/>
  <c r="W170" i="3" s="1"/>
  <c r="W171" i="3" s="1"/>
  <c r="W172" i="3" s="1"/>
  <c r="W173" i="3" s="1"/>
  <c r="W174" i="3" s="1"/>
  <c r="W175" i="3" s="1"/>
  <c r="W176" i="3" s="1"/>
  <c r="W177" i="3" s="1"/>
  <c r="W178" i="3" s="1"/>
  <c r="W179" i="3" s="1"/>
  <c r="W180" i="3" s="1"/>
  <c r="W181" i="3" s="1"/>
  <c r="W182" i="3" s="1"/>
  <c r="W183" i="3" s="1"/>
  <c r="W184" i="3" s="1"/>
  <c r="W185" i="3" s="1"/>
  <c r="W186" i="3" s="1"/>
  <c r="W187" i="3" s="1"/>
  <c r="W188" i="3" s="1"/>
  <c r="W189" i="3" s="1"/>
  <c r="W192" i="3"/>
  <c r="W193" i="3" s="1"/>
  <c r="W194" i="3" s="1"/>
  <c r="W195" i="3" s="1"/>
  <c r="W196" i="3" s="1"/>
  <c r="W197" i="3" s="1"/>
  <c r="W198" i="3" s="1"/>
  <c r="W199" i="3" s="1"/>
  <c r="W200" i="3" s="1"/>
  <c r="W201" i="3" s="1"/>
  <c r="W202" i="3" s="1"/>
  <c r="W203" i="3" s="1"/>
  <c r="W204" i="3" s="1"/>
  <c r="W205" i="3" s="1"/>
  <c r="W206" i="3" s="1"/>
  <c r="W207" i="3" s="1"/>
  <c r="W208" i="3" s="1"/>
  <c r="W209" i="3" s="1"/>
  <c r="W210" i="3" s="1"/>
  <c r="W211" i="3" s="1"/>
  <c r="W212" i="3" s="1"/>
  <c r="W213" i="3" s="1"/>
  <c r="W214" i="3" s="1"/>
  <c r="W215" i="3" s="1"/>
  <c r="W216" i="3" s="1"/>
  <c r="W217" i="3" s="1"/>
  <c r="W218" i="3" s="1"/>
  <c r="W219" i="3" s="1"/>
  <c r="W220" i="3" s="1"/>
  <c r="W221" i="3" s="1"/>
  <c r="W222" i="3" s="1"/>
  <c r="W223" i="3" s="1"/>
  <c r="W224" i="3" s="1"/>
  <c r="W225" i="3" s="1"/>
  <c r="W226" i="3" s="1"/>
  <c r="W227" i="3" s="1"/>
  <c r="W228" i="3" s="1"/>
  <c r="W229" i="3" s="1"/>
  <c r="D11" i="4"/>
  <c r="C9" i="4" l="1"/>
  <c r="F9" i="4" s="1"/>
  <c r="C8" i="4"/>
  <c r="F8" i="4" s="1"/>
  <c r="E16" i="4" s="1"/>
  <c r="C7" i="4"/>
  <c r="F7" i="4" s="1"/>
  <c r="C6" i="4"/>
  <c r="F6" i="4" s="1"/>
  <c r="C11" i="4"/>
  <c r="F11" i="4" s="1"/>
  <c r="C10" i="4"/>
  <c r="F10" i="4" s="1"/>
  <c r="E18" i="4" s="1"/>
  <c r="I20" i="3" s="1"/>
  <c r="I23" i="3" s="1"/>
  <c r="E19" i="4" l="1"/>
  <c r="J20" i="3" s="1"/>
  <c r="J23" i="3" s="1"/>
  <c r="E17" i="4"/>
  <c r="H20" i="3" s="1"/>
  <c r="H23" i="3" s="1"/>
  <c r="G20" i="3"/>
  <c r="G23" i="3" s="1"/>
  <c r="E15" i="4"/>
  <c r="F20" i="3" s="1"/>
  <c r="F23" i="3" s="1"/>
  <c r="I21" i="3" l="1"/>
  <c r="I22" i="3" s="1"/>
  <c r="F21" i="3"/>
  <c r="F22" i="3" s="1"/>
  <c r="G21" i="3"/>
  <c r="G22" i="3" s="1"/>
  <c r="J21" i="3"/>
  <c r="J22" i="3" s="1"/>
  <c r="H21" i="3"/>
  <c r="H22" i="3" s="1"/>
</calcChain>
</file>

<file path=xl/comments1.xml><?xml version="1.0" encoding="utf-8"?>
<comments xmlns="http://schemas.openxmlformats.org/spreadsheetml/2006/main">
  <authors>
    <author>GTonsor</author>
  </authors>
  <commentList>
    <comment ref="B8" authorId="0" shapeId="0">
      <text>
        <r>
          <rPr>
            <sz val="9"/>
            <color indexed="81"/>
            <rFont val="Tahoma"/>
            <family val="2"/>
          </rPr>
          <t>Enter "1" for the region your operation is in and "0" for all other regions</t>
        </r>
      </text>
    </comment>
    <comment ref="B17" authorId="0" shapeId="0">
      <text>
        <r>
          <rPr>
            <b/>
            <sz val="9"/>
            <color indexed="81"/>
            <rFont val="Tahoma"/>
            <family val="2"/>
          </rPr>
          <t>GTonsor:</t>
        </r>
        <r>
          <rPr>
            <sz val="9"/>
            <color indexed="81"/>
            <rFont val="Tahoma"/>
            <family val="2"/>
          </rPr>
          <t xml:space="preserve">
Either provide your own base forecast OR use a resource such as BeefBasis.com for a market-based projection</t>
        </r>
      </text>
    </comment>
    <comment ref="B19" authorId="0" shapeId="0">
      <text>
        <r>
          <rPr>
            <sz val="9"/>
            <color indexed="81"/>
            <rFont val="Tahoma"/>
            <family val="2"/>
          </rPr>
          <t>Use each drop-down menus to select the most applicable description</t>
        </r>
      </text>
    </comment>
    <comment ref="B29" authorId="0" shapeId="0">
      <text>
        <r>
          <rPr>
            <sz val="9"/>
            <color indexed="81"/>
            <rFont val="Tahoma"/>
            <family val="2"/>
          </rPr>
          <t>Use each drop-down menus to select the most applicable value</t>
        </r>
      </text>
    </comment>
    <comment ref="B34" authorId="0" shapeId="0">
      <text>
        <r>
          <rPr>
            <b/>
            <sz val="9"/>
            <color indexed="81"/>
            <rFont val="Tahoma"/>
            <family val="2"/>
          </rPr>
          <t>GTonsor:</t>
        </r>
        <r>
          <rPr>
            <sz val="9"/>
            <color indexed="81"/>
            <rFont val="Tahoma"/>
            <family val="2"/>
          </rPr>
          <t xml:space="preserve">
SLA Provdes management and vaccination requirement information online: http://www.superiorlivestock.com/files/vac_programs.pdf</t>
        </r>
      </text>
    </comment>
    <comment ref="B42" authorId="0" shapeId="0">
      <text>
        <r>
          <rPr>
            <b/>
            <sz val="9"/>
            <color indexed="81"/>
            <rFont val="Tahoma"/>
            <family val="2"/>
          </rPr>
          <t>GTonsor:</t>
        </r>
        <r>
          <rPr>
            <sz val="9"/>
            <color indexed="81"/>
            <rFont val="Tahoma"/>
            <family val="2"/>
          </rPr>
          <t xml:space="preserve">
1) Adjust Days between Weaning and Calf Sale 
2) Then given calcualted sales date and weight information, either provide your own base forecast OR use a resource such as BeefBasis.com for a market-based projection</t>
        </r>
      </text>
    </comment>
  </commentList>
</comments>
</file>

<file path=xl/sharedStrings.xml><?xml version="1.0" encoding="utf-8"?>
<sst xmlns="http://schemas.openxmlformats.org/spreadsheetml/2006/main" count="197" uniqueCount="125">
  <si>
    <t>Vac34</t>
  </si>
  <si>
    <t>Vac45</t>
  </si>
  <si>
    <t>Vac60</t>
  </si>
  <si>
    <t>Vac PreCon</t>
  </si>
  <si>
    <t>Sales Price Premium ($/cwt vs. Vac24)</t>
  </si>
  <si>
    <t>CalfVaccinationProgramEconTool.xls</t>
  </si>
  <si>
    <t>Developed by:</t>
  </si>
  <si>
    <t>Glynn T. Tonsor, Ph.D. &amp; David G. Renter, DVM, Ph.D.</t>
  </si>
  <si>
    <t>KSU-Merck Calf Vaccination Program Assessment Tool</t>
  </si>
  <si>
    <t>A spreadsheet for evaluating profit differences of calf vaccination programs</t>
  </si>
  <si>
    <t>INTRODUCTION</t>
  </si>
  <si>
    <t>INSTRUCTIONS FOR THE USER:</t>
  </si>
  <si>
    <r>
      <t xml:space="preserve">Be sure to </t>
    </r>
    <r>
      <rPr>
        <b/>
        <sz val="10"/>
        <rFont val="Arial"/>
        <family val="2"/>
      </rPr>
      <t xml:space="preserve">"Enable Content" </t>
    </r>
    <r>
      <rPr>
        <sz val="10"/>
        <rFont val="Arial"/>
        <family val="2"/>
      </rPr>
      <t xml:space="preserve">and </t>
    </r>
    <r>
      <rPr>
        <b/>
        <sz val="10"/>
        <rFont val="Arial"/>
        <family val="2"/>
      </rPr>
      <t>"Enable Macros"</t>
    </r>
    <r>
      <rPr>
        <sz val="10"/>
        <rFont val="Arial"/>
        <family val="2"/>
      </rPr>
      <t xml:space="preserve"> for the spreadsheet to function correctly.</t>
    </r>
  </si>
  <si>
    <t>FOR MORE INFORMATION:</t>
  </si>
  <si>
    <t>SLA Vaccination Programs</t>
  </si>
  <si>
    <t>Merck Animal Health</t>
  </si>
  <si>
    <t>AgManager</t>
  </si>
  <si>
    <t>Glynn T. Tonsor, Ph.D.</t>
  </si>
  <si>
    <t>David G. Renter, DVM, Ph.D.</t>
  </si>
  <si>
    <t>Professor</t>
  </si>
  <si>
    <t>Director, Center for Outcomes Research and Epidemiology</t>
  </si>
  <si>
    <t>Department of Agricultural Economics</t>
  </si>
  <si>
    <t>Department of Diagnostic Medicine/Pathobiology</t>
  </si>
  <si>
    <t>Kansas State University</t>
  </si>
  <si>
    <t>gtonsor@k-state.edu</t>
  </si>
  <si>
    <t>drenter@vet.ksu.edu</t>
  </si>
  <si>
    <t>785-532-1518</t>
  </si>
  <si>
    <t>785-532-4801</t>
  </si>
  <si>
    <t>ACKNOWLEDGEMENTS:</t>
  </si>
  <si>
    <t>NATIONAL MODEL</t>
  </si>
  <si>
    <t xml:space="preserve"> - if estimate is not statistically significant at the 0.10 level, a value of $0 is entered here</t>
  </si>
  <si>
    <t>SLA Data Analysis, Marginal Effects from Hedonic Models (Base of VAC24)</t>
  </si>
  <si>
    <t>Maximum</t>
  </si>
  <si>
    <t>Conditional Coloring. Barchart Results</t>
  </si>
  <si>
    <t>Positive, but Not Maximum</t>
  </si>
  <si>
    <t>https://www.officetooltips.com/excel_2016/tips/displaying_conditional_colors_in_a_column_chart.html</t>
  </si>
  <si>
    <t>This spreadsheet was developed as a decision-aid tool for cattle producers to compare economics of calf vaccination programs. It can be used to compare Expected Net Profit difference between alternative calf vaccination programs.</t>
  </si>
  <si>
    <t>Created by:</t>
  </si>
  <si>
    <t>GT: HIDE THIS TAB BEFORE POSTING / CONTAINS BEHIND-THE-SCENES INFO DRIVING FINAL ESTIMATES USER OBTAINS</t>
  </si>
  <si>
    <t>VAC PROGRAM PREMIUM VALUES</t>
  </si>
  <si>
    <t>OTHER PREMIUM/DISCOUNT VALUES</t>
  </si>
  <si>
    <t>Light-Medium</t>
  </si>
  <si>
    <t>Very Uneven</t>
  </si>
  <si>
    <t>Fairly Even</t>
  </si>
  <si>
    <t>Brahman or Exotic Influence</t>
  </si>
  <si>
    <t>Continental Influence</t>
  </si>
  <si>
    <t>Yes</t>
  </si>
  <si>
    <t>Progressive Genetics</t>
  </si>
  <si>
    <t>GAP</t>
  </si>
  <si>
    <t>Non-Hormone Treated Cattle (NHTC)</t>
  </si>
  <si>
    <t>Beef Quality Assurance (BQA)</t>
  </si>
  <si>
    <t>NATIONAL</t>
  </si>
  <si>
    <t>Sales Date</t>
  </si>
  <si>
    <t>Step 1) Enter information for selling at weaning (NOT pre-conditioning)</t>
  </si>
  <si>
    <t>Flesh Score</t>
  </si>
  <si>
    <t>Weight Variation</t>
  </si>
  <si>
    <t>Horns</t>
  </si>
  <si>
    <t>Breed</t>
  </si>
  <si>
    <t>Other</t>
  </si>
  <si>
    <t>Uneven</t>
  </si>
  <si>
    <t>No</t>
  </si>
  <si>
    <t>Light-Medium, Medium</t>
  </si>
  <si>
    <t>Weaning Weight (lbs)</t>
  </si>
  <si>
    <t>Sales Date (MM/DD/YYYY)</t>
  </si>
  <si>
    <t>Average Daily Gain (lbs/day)</t>
  </si>
  <si>
    <t>Death Loss (%)</t>
  </si>
  <si>
    <t>Feed Cost ($/head/day)</t>
  </si>
  <si>
    <t>Labor Cost ($/head/day)</t>
  </si>
  <si>
    <t>Medicine Cost ($/head)</t>
  </si>
  <si>
    <t>Medicine Cost - VAC24 ($/head)</t>
  </si>
  <si>
    <t>Medicine Cost - VAC34 ($/head)</t>
  </si>
  <si>
    <t>Medicine Cost - VAC45 ($/head)</t>
  </si>
  <si>
    <t>Medicine Cost - VAC60 ($/head)</t>
  </si>
  <si>
    <t>Medicine Cost - VAC PreCon ($/head)</t>
  </si>
  <si>
    <t>Projected Sales Price ($/cwt), VAC24</t>
  </si>
  <si>
    <t>Projected Sales Price ($/cwt), VAC34</t>
  </si>
  <si>
    <t>Projected Sales Price ($/cwt), VAC45</t>
  </si>
  <si>
    <t>Projected Sales Price ($/cwt), VAC60</t>
  </si>
  <si>
    <t>Projected Sales Price ($/cwt), VAC PreCon</t>
  </si>
  <si>
    <t>Sales Weight (lbs)</t>
  </si>
  <si>
    <t>Step 2) Identify what region applies to your operation</t>
  </si>
  <si>
    <t xml:space="preserve">To learn more about Superior Livestock Auction's Vaccination Programs, Merck Animal Health, </t>
  </si>
  <si>
    <t>or KSU's AgManager resources click on the following links:</t>
  </si>
  <si>
    <t>Comparison of Alternative Pre-Conditioning, Calf Vaccination Programs - USER INPUT WORKSHEET</t>
  </si>
  <si>
    <t>The authors gratefully acknowledge funding provided by Merck Animal Health for development of this tool and Superior Livestock Auction for auction sales data used in related research supported by Merck Animal Health.</t>
  </si>
  <si>
    <t>LISTS OR DROP-DOWN MENUS</t>
  </si>
  <si>
    <t>Step 3) Enter projected base sales price at weaning</t>
  </si>
  <si>
    <t>Sell at Weaning</t>
  </si>
  <si>
    <t>Precondition, VAC 24 Program</t>
  </si>
  <si>
    <t>Precondition, VAC 34 Program</t>
  </si>
  <si>
    <t>Precondition, VAC 45 Program</t>
  </si>
  <si>
    <t>Precondition, VAC 60 Program</t>
  </si>
  <si>
    <t>Precondition, VAC PreCon Program</t>
  </si>
  <si>
    <t>Sales Price ($/cwt)</t>
  </si>
  <si>
    <t>Revenue ($/hd)</t>
  </si>
  <si>
    <t>Cost Increase ($/hd)</t>
  </si>
  <si>
    <t>Projected Net Margin Difference ($/hd)</t>
  </si>
  <si>
    <t>Comparison of Alternative Pre-Conditioning, Calf Vaccination Programs - PROJECTED RESULTS SUMMARY</t>
  </si>
  <si>
    <t>Sales Price, Date, Weight, and Revenue</t>
  </si>
  <si>
    <t>Expected Net Margin ($/hd vs. Sell @ Weaning)</t>
  </si>
  <si>
    <t>Vac24</t>
  </si>
  <si>
    <t>Negative (Sell at Weaning Is Higher)</t>
  </si>
  <si>
    <t>Sell @ Weaning</t>
  </si>
  <si>
    <t>Cost Increase and Projected Net Margin Difference ($/hd vs. Sell at Weaning)</t>
  </si>
  <si>
    <t>Flesh</t>
  </si>
  <si>
    <t>NHTC</t>
  </si>
  <si>
    <t>BQA</t>
  </si>
  <si>
    <t>SUMP over REGION DUMMY</t>
  </si>
  <si>
    <t>LOOKUP USER DROPDOWN  SELECTION</t>
  </si>
  <si>
    <t>Projected Base Sales Price ($/cwt) at Weaning</t>
  </si>
  <si>
    <t>Step 5) Use drop-down menus to identify expected pre-conditioning parameters</t>
  </si>
  <si>
    <t>Step 4) Use drop-down menus to Identify applicable traits and claims for sales price adjustment</t>
  </si>
  <si>
    <t>Step 6) Enter projected sales price for preconditioning calves at future dates and heavier weights</t>
  </si>
  <si>
    <t>Step 7) Examine RESULTS Tab to inform program decision</t>
  </si>
  <si>
    <t>Days Weaning to Sale</t>
  </si>
  <si>
    <r>
      <t xml:space="preserve">In the </t>
    </r>
    <r>
      <rPr>
        <u/>
        <sz val="12"/>
        <rFont val="Calibri"/>
        <family val="2"/>
        <scheme val="minor"/>
      </rPr>
      <t>User Worksheet tab</t>
    </r>
    <r>
      <rPr>
        <sz val="12"/>
        <rFont val="Calibri"/>
        <family val="2"/>
        <scheme val="minor"/>
      </rPr>
      <t xml:space="preserve"> follow </t>
    </r>
    <r>
      <rPr>
        <b/>
        <sz val="12"/>
        <color rgb="FF00B050"/>
        <rFont val="Calibri"/>
        <family val="2"/>
        <scheme val="minor"/>
      </rPr>
      <t>Steps 1-7</t>
    </r>
    <r>
      <rPr>
        <sz val="12"/>
        <rFont val="Calibri"/>
        <family val="2"/>
        <scheme val="minor"/>
      </rPr>
      <t xml:space="preserve">.  All </t>
    </r>
    <r>
      <rPr>
        <b/>
        <sz val="12"/>
        <color rgb="FF0070C0"/>
        <rFont val="Calibri"/>
        <family val="2"/>
        <scheme val="minor"/>
      </rPr>
      <t xml:space="preserve">blue </t>
    </r>
    <r>
      <rPr>
        <sz val="12"/>
        <rFont val="Calibri"/>
        <family val="2"/>
        <scheme val="minor"/>
      </rPr>
      <t xml:space="preserve">numbers are input, or drop-down selections by the user.  All </t>
    </r>
    <r>
      <rPr>
        <b/>
        <sz val="12"/>
        <rFont val="Calibri"/>
        <family val="2"/>
        <scheme val="minor"/>
      </rPr>
      <t>black</t>
    </r>
    <r>
      <rPr>
        <sz val="12"/>
        <rFont val="Calibri"/>
        <family val="2"/>
        <scheme val="minor"/>
      </rPr>
      <t xml:space="preserve"> numbers are calculated using data provided by the user.  The spreadsheet automatically recalculates every time an additional input is entered.  Thus, it is important to wait until all data have been entered and reviewed before calculated output in the Results tab. Some input cells (i.e., blue number) have a red diamond in the upper right hand corner of the cell providing additional guidance for the user. </t>
    </r>
  </si>
  <si>
    <t>Copyright 2023 AgManager.info, K-State Department of Agricultural Economics</t>
  </si>
  <si>
    <t>WEST (CA, OR, WA, ID, NV)</t>
  </si>
  <si>
    <t>UPPER PLAINS (MT, WY, UT, CO, NE, SD, ND)</t>
  </si>
  <si>
    <t>SOUTH CENTRAL (AZ, NM, TX, OK, AR, LA)</t>
  </si>
  <si>
    <t>MIDWEST (KS, MO, IA, MN, WI, IL)</t>
  </si>
  <si>
    <t>EAST (None of the above; east of Mississippi River)</t>
  </si>
  <si>
    <t>No Brahman, Exotic or Continental Influence</t>
  </si>
  <si>
    <t>Sumproduct - Region &amp; VacPremium</t>
  </si>
  <si>
    <t>Version- 5.9.2023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</si>
</sst>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7" formatCode="&quot;$&quot;#,##0.00_);\(&quot;$&quot;#,##0.00\)"/>
    <numFmt numFmtId="44" formatCode="_(&quot;$&quot;* #,##0.00_);_(&quot;$&quot;* \(#,##0.00\);_(&quot;$&quot;* &quot;-&quot;??_);_(@_)"/>
  </numFmts>
  <fonts count="4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0"/>
      <name val="Arial"/>
      <family val="2"/>
    </font>
    <font>
      <b/>
      <sz val="12"/>
      <name val="Arial"/>
      <family val="2"/>
    </font>
    <font>
      <b/>
      <sz val="10"/>
      <color rgb="FF00B050"/>
      <name val="Arial"/>
      <family val="2"/>
    </font>
    <font>
      <b/>
      <sz val="10"/>
      <color indexed="12"/>
      <name val="Arial"/>
      <family val="2"/>
    </font>
    <font>
      <sz val="10"/>
      <name val="Arial"/>
      <family val="2"/>
    </font>
    <font>
      <b/>
      <i/>
      <sz val="10"/>
      <name val="Arial"/>
      <family val="2"/>
    </font>
    <font>
      <sz val="9"/>
      <color indexed="81"/>
      <name val="Tahoma"/>
      <family val="2"/>
    </font>
    <font>
      <b/>
      <sz val="12"/>
      <color theme="0"/>
      <name val="Arial"/>
      <family val="2"/>
    </font>
    <font>
      <b/>
      <i/>
      <sz val="20"/>
      <color theme="0"/>
      <name val="Calibri"/>
      <family val="2"/>
      <scheme val="minor"/>
    </font>
    <font>
      <sz val="18"/>
      <color theme="0"/>
      <name val="Calibri"/>
      <family val="2"/>
      <scheme val="minor"/>
    </font>
    <font>
      <b/>
      <sz val="12"/>
      <color theme="0"/>
      <name val="Calibri"/>
      <family val="2"/>
      <scheme val="minor"/>
    </font>
    <font>
      <b/>
      <i/>
      <sz val="13"/>
      <color theme="0"/>
      <name val="Calibri"/>
      <family val="2"/>
      <scheme val="minor"/>
    </font>
    <font>
      <i/>
      <sz val="13"/>
      <color theme="0"/>
      <name val="Calibri"/>
      <family val="2"/>
      <scheme val="minor"/>
    </font>
    <font>
      <sz val="13"/>
      <color theme="0"/>
      <name val="Calibri"/>
      <family val="2"/>
      <scheme val="minor"/>
    </font>
    <font>
      <sz val="10"/>
      <color theme="0"/>
      <name val="Calibri"/>
      <family val="2"/>
      <scheme val="minor"/>
    </font>
    <font>
      <sz val="10"/>
      <color theme="0"/>
      <name val="Arial"/>
      <family val="2"/>
    </font>
    <font>
      <b/>
      <sz val="9"/>
      <color theme="0"/>
      <name val="Arial"/>
      <family val="2"/>
    </font>
    <font>
      <b/>
      <sz val="11"/>
      <color theme="0"/>
      <name val="Arial"/>
      <family val="2"/>
    </font>
    <font>
      <b/>
      <i/>
      <sz val="12"/>
      <color theme="0"/>
      <name val="Arial"/>
      <family val="2"/>
    </font>
    <font>
      <b/>
      <u/>
      <sz val="12"/>
      <name val="Calibri"/>
      <family val="2"/>
      <scheme val="minor"/>
    </font>
    <font>
      <sz val="12"/>
      <name val="Calibri"/>
      <family val="2"/>
      <scheme val="minor"/>
    </font>
    <font>
      <b/>
      <sz val="12"/>
      <name val="Calibri"/>
      <family val="2"/>
      <scheme val="minor"/>
    </font>
    <font>
      <u/>
      <sz val="8.6999999999999993"/>
      <color indexed="12"/>
      <name val="Arial"/>
      <family val="2"/>
    </font>
    <font>
      <b/>
      <u/>
      <sz val="8.6999999999999993"/>
      <color indexed="12"/>
      <name val="Arial"/>
      <family val="2"/>
    </font>
    <font>
      <u/>
      <sz val="10"/>
      <color indexed="12"/>
      <name val="Arial"/>
      <family val="2"/>
    </font>
    <font>
      <b/>
      <sz val="12"/>
      <color indexed="12"/>
      <name val="Calibri"/>
      <family val="2"/>
      <scheme val="minor"/>
    </font>
    <font>
      <u/>
      <sz val="12"/>
      <color indexed="12"/>
      <name val="Calibri"/>
      <family val="2"/>
      <scheme val="minor"/>
    </font>
    <font>
      <u/>
      <sz val="12"/>
      <name val="Calibri"/>
      <family val="2"/>
      <scheme val="minor"/>
    </font>
    <font>
      <i/>
      <sz val="12"/>
      <name val="Calibri"/>
      <family val="2"/>
      <scheme val="minor"/>
    </font>
    <font>
      <sz val="11"/>
      <name val="Calibri"/>
      <family val="2"/>
      <scheme val="minor"/>
    </font>
    <font>
      <sz val="11"/>
      <color rgb="FF00B050"/>
      <name val="Calibri"/>
      <family val="2"/>
      <scheme val="minor"/>
    </font>
    <font>
      <u/>
      <sz val="8"/>
      <color indexed="12"/>
      <name val="Arial"/>
      <family val="2"/>
    </font>
    <font>
      <b/>
      <sz val="11"/>
      <name val="Calibri"/>
      <family val="2"/>
      <scheme val="minor"/>
    </font>
    <font>
      <b/>
      <sz val="9"/>
      <color indexed="81"/>
      <name val="Tahoma"/>
      <family val="2"/>
    </font>
    <font>
      <b/>
      <sz val="12"/>
      <color theme="4"/>
      <name val="Arial"/>
      <family val="2"/>
    </font>
    <font>
      <b/>
      <sz val="10"/>
      <color rgb="FFFF0000"/>
      <name val="Arial"/>
      <family val="2"/>
    </font>
    <font>
      <b/>
      <sz val="12"/>
      <color rgb="FF0070C0"/>
      <name val="Calibri"/>
      <family val="2"/>
      <scheme val="minor"/>
    </font>
    <font>
      <b/>
      <sz val="12"/>
      <color rgb="FF00B050"/>
      <name val="Calibri"/>
      <family val="2"/>
      <scheme val="minor"/>
    </font>
    <font>
      <b/>
      <i/>
      <sz val="10"/>
      <color rgb="FFFF0000"/>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rgb="FF7030A0"/>
        <bgColor indexed="64"/>
      </patternFill>
    </fill>
    <fill>
      <patternFill patternType="solid">
        <fgColor rgb="FFFFFF00"/>
        <bgColor indexed="64"/>
      </patternFill>
    </fill>
  </fills>
  <borders count="10">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7">
    <xf numFmtId="0" fontId="0" fillId="0" borderId="0"/>
    <xf numFmtId="44" fontId="1" fillId="0" borderId="0" applyFont="0" applyFill="0" applyBorder="0" applyAlignment="0" applyProtection="0"/>
    <xf numFmtId="0" fontId="8" fillId="0" borderId="0"/>
    <xf numFmtId="0" fontId="26"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9" fontId="1" fillId="0" borderId="0" applyFont="0" applyFill="0" applyBorder="0" applyAlignment="0" applyProtection="0"/>
  </cellStyleXfs>
  <cellXfs count="151">
    <xf numFmtId="0" fontId="0" fillId="0" borderId="0" xfId="0"/>
    <xf numFmtId="0" fontId="4" fillId="2" borderId="0" xfId="0" applyFont="1" applyFill="1"/>
    <xf numFmtId="0" fontId="5" fillId="2" borderId="1" xfId="0" applyFont="1" applyFill="1" applyBorder="1"/>
    <xf numFmtId="0" fontId="4" fillId="2" borderId="1" xfId="0" applyFont="1" applyFill="1" applyBorder="1"/>
    <xf numFmtId="0" fontId="4" fillId="2" borderId="1" xfId="0" applyFont="1" applyFill="1" applyBorder="1" applyAlignment="1">
      <alignment horizontal="center"/>
    </xf>
    <xf numFmtId="0" fontId="9" fillId="2" borderId="0" xfId="0" applyFont="1" applyFill="1"/>
    <xf numFmtId="0" fontId="4" fillId="2" borderId="0" xfId="0" applyFont="1" applyFill="1" applyAlignment="1">
      <alignment horizontal="left" indent="1"/>
    </xf>
    <xf numFmtId="0" fontId="4" fillId="2" borderId="0" xfId="0" applyFont="1" applyFill="1" applyBorder="1" applyAlignment="1">
      <alignment horizontal="left" indent="1"/>
    </xf>
    <xf numFmtId="0" fontId="4" fillId="2" borderId="2" xfId="0" applyFont="1" applyFill="1" applyBorder="1"/>
    <xf numFmtId="37" fontId="7" fillId="3" borderId="0" xfId="1" applyNumberFormat="1" applyFont="1" applyFill="1" applyAlignment="1" applyProtection="1">
      <alignment horizontal="center"/>
      <protection locked="0"/>
    </xf>
    <xf numFmtId="0" fontId="7" fillId="3" borderId="0" xfId="0" applyFont="1" applyFill="1" applyAlignment="1" applyProtection="1">
      <alignment horizontal="center"/>
      <protection locked="0"/>
    </xf>
    <xf numFmtId="0" fontId="4" fillId="2" borderId="0" xfId="0" applyFont="1" applyFill="1" applyAlignment="1">
      <alignment horizontal="center"/>
    </xf>
    <xf numFmtId="0" fontId="8" fillId="2" borderId="0" xfId="0" applyFont="1" applyFill="1"/>
    <xf numFmtId="44" fontId="8" fillId="2" borderId="0" xfId="1" applyFont="1" applyFill="1" applyAlignment="1">
      <alignment horizontal="center"/>
    </xf>
    <xf numFmtId="0" fontId="8" fillId="2" borderId="0" xfId="0" applyFont="1" applyFill="1" applyBorder="1"/>
    <xf numFmtId="0" fontId="8" fillId="0" borderId="0" xfId="2" applyFont="1" applyProtection="1"/>
    <xf numFmtId="0" fontId="11" fillId="4" borderId="3" xfId="2" applyFont="1" applyFill="1" applyBorder="1" applyProtection="1"/>
    <xf numFmtId="0" fontId="11" fillId="4" borderId="2" xfId="2" applyFont="1" applyFill="1" applyBorder="1" applyProtection="1"/>
    <xf numFmtId="0" fontId="11" fillId="4" borderId="4" xfId="2" applyFont="1" applyFill="1" applyBorder="1" applyProtection="1"/>
    <xf numFmtId="0" fontId="12" fillId="4" borderId="5" xfId="2" applyFont="1" applyFill="1" applyBorder="1" applyAlignment="1" applyProtection="1"/>
    <xf numFmtId="0" fontId="13" fillId="4" borderId="0" xfId="2" applyFont="1" applyFill="1" applyAlignment="1" applyProtection="1"/>
    <xf numFmtId="0" fontId="14" fillId="4" borderId="0" xfId="2" applyFont="1" applyFill="1" applyBorder="1" applyProtection="1"/>
    <xf numFmtId="0" fontId="11" fillId="4" borderId="0" xfId="2" applyFont="1" applyFill="1" applyBorder="1" applyProtection="1"/>
    <xf numFmtId="0" fontId="11" fillId="4" borderId="6" xfId="2" applyFont="1" applyFill="1" applyBorder="1" applyProtection="1"/>
    <xf numFmtId="0" fontId="14" fillId="4" borderId="5" xfId="2" applyFont="1" applyFill="1" applyBorder="1" applyProtection="1"/>
    <xf numFmtId="0" fontId="15" fillId="4" borderId="0" xfId="2" applyFont="1" applyFill="1" applyBorder="1" applyAlignment="1" applyProtection="1">
      <alignment horizontal="left"/>
    </xf>
    <xf numFmtId="0" fontId="16" fillId="4" borderId="0" xfId="2" applyFont="1" applyFill="1" applyAlignment="1" applyProtection="1">
      <alignment horizontal="left"/>
    </xf>
    <xf numFmtId="0" fontId="17" fillId="4" borderId="0" xfId="2" applyFont="1" applyFill="1" applyAlignment="1" applyProtection="1"/>
    <xf numFmtId="0" fontId="11" fillId="4" borderId="5" xfId="2" applyFont="1" applyFill="1" applyBorder="1" applyAlignment="1" applyProtection="1">
      <alignment horizontal="center"/>
    </xf>
    <xf numFmtId="0" fontId="19" fillId="4" borderId="0" xfId="2" applyFont="1" applyFill="1" applyAlignment="1" applyProtection="1">
      <alignment wrapText="1"/>
    </xf>
    <xf numFmtId="0" fontId="20" fillId="4" borderId="0" xfId="2" applyFont="1" applyFill="1" applyBorder="1" applyProtection="1"/>
    <xf numFmtId="0" fontId="21" fillId="4" borderId="6" xfId="2" applyFont="1" applyFill="1" applyBorder="1" applyProtection="1"/>
    <xf numFmtId="0" fontId="11" fillId="4" borderId="7" xfId="2" applyFont="1" applyFill="1" applyBorder="1" applyProtection="1"/>
    <xf numFmtId="0" fontId="11" fillId="4" borderId="1" xfId="2" applyFont="1" applyFill="1" applyBorder="1" applyProtection="1"/>
    <xf numFmtId="0" fontId="20" fillId="4" borderId="1" xfId="2" applyFont="1" applyFill="1" applyBorder="1" applyProtection="1"/>
    <xf numFmtId="0" fontId="22" fillId="4" borderId="8" xfId="2" applyFont="1" applyFill="1" applyBorder="1" applyAlignment="1" applyProtection="1">
      <alignment horizontal="right"/>
    </xf>
    <xf numFmtId="0" fontId="5" fillId="0" borderId="0" xfId="2" applyFont="1" applyProtection="1"/>
    <xf numFmtId="0" fontId="5" fillId="0" borderId="0" xfId="2" applyFont="1" applyFill="1" applyBorder="1" applyProtection="1"/>
    <xf numFmtId="0" fontId="23" fillId="0" borderId="0" xfId="2" applyFont="1" applyAlignment="1" applyProtection="1"/>
    <xf numFmtId="0" fontId="24" fillId="0" borderId="0" xfId="2" applyFont="1" applyAlignment="1" applyProtection="1"/>
    <xf numFmtId="0" fontId="24" fillId="0" borderId="0" xfId="2" applyFont="1" applyProtection="1"/>
    <xf numFmtId="0" fontId="25" fillId="0" borderId="0" xfId="2" applyFont="1" applyProtection="1"/>
    <xf numFmtId="0" fontId="25" fillId="0" borderId="0" xfId="2" applyFont="1" applyFill="1" applyProtection="1"/>
    <xf numFmtId="0" fontId="24" fillId="0" borderId="0" xfId="2" applyFont="1" applyFill="1" applyProtection="1"/>
    <xf numFmtId="0" fontId="24" fillId="0" borderId="0" xfId="2" applyFont="1" applyAlignment="1" applyProtection="1">
      <alignment wrapText="1"/>
    </xf>
    <xf numFmtId="0" fontId="23" fillId="0" borderId="0" xfId="2" applyFont="1" applyProtection="1"/>
    <xf numFmtId="0" fontId="27" fillId="0" borderId="0" xfId="3" applyFont="1" applyAlignment="1" applyProtection="1"/>
    <xf numFmtId="0" fontId="26" fillId="0" borderId="0" xfId="3" applyAlignment="1" applyProtection="1"/>
    <xf numFmtId="0" fontId="29" fillId="0" borderId="0" xfId="2" applyFont="1" applyAlignment="1">
      <alignment horizontal="center"/>
    </xf>
    <xf numFmtId="0" fontId="24" fillId="0" borderId="0" xfId="2" applyFont="1" applyAlignment="1" applyProtection="1">
      <alignment horizontal="center"/>
    </xf>
    <xf numFmtId="0" fontId="24" fillId="0" borderId="0" xfId="5" applyFont="1" applyFill="1" applyAlignment="1" applyProtection="1"/>
    <xf numFmtId="0" fontId="24" fillId="0" borderId="0" xfId="2" applyFont="1" applyFill="1" applyAlignment="1" applyProtection="1"/>
    <xf numFmtId="0" fontId="0" fillId="0" borderId="0" xfId="0" applyAlignment="1">
      <alignment horizontal="left" vertical="top" wrapText="1"/>
    </xf>
    <xf numFmtId="0" fontId="4" fillId="2" borderId="0" xfId="0" applyFont="1" applyFill="1" applyAlignment="1">
      <alignment horizontal="right"/>
    </xf>
    <xf numFmtId="0" fontId="0" fillId="0" borderId="0" xfId="0" applyAlignment="1">
      <alignment horizontal="center"/>
    </xf>
    <xf numFmtId="0" fontId="3" fillId="0" borderId="0" xfId="0" applyFont="1"/>
    <xf numFmtId="0" fontId="0" fillId="5" borderId="0" xfId="0" applyFill="1"/>
    <xf numFmtId="0" fontId="2" fillId="5" borderId="0" xfId="0" applyFont="1" applyFill="1"/>
    <xf numFmtId="0" fontId="34" fillId="0" borderId="3" xfId="0" applyFont="1" applyBorder="1"/>
    <xf numFmtId="0" fontId="33" fillId="0" borderId="5" xfId="0" applyFont="1" applyBorder="1"/>
    <xf numFmtId="0" fontId="2" fillId="0" borderId="7" xfId="0" applyFont="1" applyBorder="1"/>
    <xf numFmtId="7" fontId="0" fillId="0" borderId="1" xfId="1" applyNumberFormat="1" applyFont="1" applyBorder="1"/>
    <xf numFmtId="7" fontId="0" fillId="0" borderId="8" xfId="1" applyNumberFormat="1" applyFont="1" applyBorder="1"/>
    <xf numFmtId="7" fontId="0" fillId="0" borderId="0" xfId="1" applyNumberFormat="1" applyFont="1" applyBorder="1"/>
    <xf numFmtId="7" fontId="0" fillId="0" borderId="2" xfId="1" applyNumberFormat="1" applyFont="1" applyBorder="1"/>
    <xf numFmtId="7" fontId="0" fillId="0" borderId="4" xfId="1" applyNumberFormat="1" applyFont="1" applyBorder="1"/>
    <xf numFmtId="7" fontId="0" fillId="0" borderId="6" xfId="1" applyNumberFormat="1" applyFont="1" applyBorder="1"/>
    <xf numFmtId="0" fontId="35" fillId="0" borderId="0" xfId="3" applyFont="1" applyAlignment="1" applyProtection="1"/>
    <xf numFmtId="0" fontId="6" fillId="2" borderId="0" xfId="0" applyFont="1" applyFill="1" applyAlignment="1"/>
    <xf numFmtId="0" fontId="4" fillId="2" borderId="0" xfId="0" applyFont="1" applyFill="1" applyAlignment="1"/>
    <xf numFmtId="0" fontId="2" fillId="0" borderId="0" xfId="0" applyFont="1" applyFill="1"/>
    <xf numFmtId="0" fontId="0" fillId="0" borderId="0" xfId="0" applyFill="1"/>
    <xf numFmtId="0" fontId="36" fillId="0" borderId="9" xfId="0" applyFont="1" applyFill="1" applyBorder="1"/>
    <xf numFmtId="0" fontId="0" fillId="0" borderId="9" xfId="0" applyFill="1" applyBorder="1"/>
    <xf numFmtId="0" fontId="0" fillId="0" borderId="0" xfId="0"/>
    <xf numFmtId="0" fontId="0" fillId="5" borderId="0" xfId="0" applyFill="1"/>
    <xf numFmtId="0" fontId="0" fillId="0" borderId="0" xfId="0" applyNumberFormat="1" applyFont="1" applyFill="1" applyBorder="1" applyAlignment="1" applyProtection="1">
      <alignment horizontal="right" wrapText="1"/>
    </xf>
    <xf numFmtId="0" fontId="0" fillId="0" borderId="0" xfId="0" applyAlignment="1">
      <alignment horizontal="right"/>
    </xf>
    <xf numFmtId="0" fontId="0" fillId="0" borderId="0" xfId="0" applyAlignment="1">
      <alignment horizontal="left"/>
    </xf>
    <xf numFmtId="0" fontId="4" fillId="2" borderId="1" xfId="0" applyFont="1" applyFill="1" applyBorder="1" applyAlignment="1">
      <alignment horizontal="center" vertical="center" wrapText="1"/>
    </xf>
    <xf numFmtId="0" fontId="4" fillId="2" borderId="0" xfId="0" applyFont="1" applyFill="1" applyBorder="1"/>
    <xf numFmtId="14" fontId="7" fillId="3" borderId="0" xfId="0" applyNumberFormat="1" applyFont="1" applyFill="1" applyAlignment="1" applyProtection="1">
      <alignment horizontal="center"/>
      <protection locked="0"/>
    </xf>
    <xf numFmtId="0" fontId="0" fillId="0" borderId="0" xfId="0" applyNumberFormat="1" applyFont="1" applyFill="1" applyBorder="1" applyAlignment="1" applyProtection="1">
      <alignment horizontal="center" wrapText="1"/>
    </xf>
    <xf numFmtId="10" fontId="0" fillId="0" borderId="0" xfId="6" applyNumberFormat="1" applyFont="1"/>
    <xf numFmtId="44" fontId="0" fillId="0" borderId="0" xfId="1" applyFont="1"/>
    <xf numFmtId="44" fontId="0" fillId="0" borderId="0" xfId="0" applyNumberFormat="1"/>
    <xf numFmtId="2" fontId="0" fillId="0" borderId="0" xfId="0" applyNumberFormat="1"/>
    <xf numFmtId="2" fontId="7" fillId="3" borderId="0" xfId="0" applyNumberFormat="1" applyFont="1" applyFill="1" applyAlignment="1" applyProtection="1">
      <alignment horizontal="center"/>
      <protection locked="0"/>
    </xf>
    <xf numFmtId="10" fontId="7" fillId="3" borderId="0" xfId="6" applyNumberFormat="1" applyFont="1" applyFill="1" applyAlignment="1" applyProtection="1">
      <alignment horizontal="center"/>
      <protection locked="0"/>
    </xf>
    <xf numFmtId="7" fontId="7" fillId="3" borderId="0" xfId="1" applyNumberFormat="1" applyFont="1" applyFill="1" applyAlignment="1" applyProtection="1">
      <alignment horizontal="center"/>
      <protection locked="0"/>
    </xf>
    <xf numFmtId="14" fontId="4" fillId="3" borderId="0" xfId="0" applyNumberFormat="1" applyFont="1" applyFill="1" applyAlignment="1" applyProtection="1">
      <alignment horizontal="center"/>
      <protection locked="0"/>
    </xf>
    <xf numFmtId="1" fontId="4" fillId="3" borderId="0" xfId="0" applyNumberFormat="1" applyFont="1" applyFill="1" applyAlignment="1" applyProtection="1">
      <alignment horizontal="center"/>
      <protection locked="0"/>
    </xf>
    <xf numFmtId="0" fontId="3" fillId="5" borderId="0" xfId="0" applyFont="1" applyFill="1"/>
    <xf numFmtId="0" fontId="4" fillId="2" borderId="0" xfId="0" applyFont="1" applyFill="1" applyAlignment="1">
      <alignment horizontal="center" vertical="center" wrapText="1"/>
    </xf>
    <xf numFmtId="0" fontId="5" fillId="2" borderId="0" xfId="0" applyFont="1" applyFill="1" applyBorder="1"/>
    <xf numFmtId="7" fontId="4" fillId="2" borderId="0" xfId="0" applyNumberFormat="1" applyFont="1" applyFill="1" applyAlignment="1">
      <alignment horizontal="center"/>
    </xf>
    <xf numFmtId="14" fontId="4" fillId="2" borderId="0" xfId="0" applyNumberFormat="1" applyFont="1" applyFill="1" applyAlignment="1">
      <alignment horizontal="center"/>
    </xf>
    <xf numFmtId="1" fontId="4" fillId="2" borderId="0" xfId="0" applyNumberFormat="1" applyFont="1" applyFill="1" applyAlignment="1">
      <alignment horizontal="center"/>
    </xf>
    <xf numFmtId="0" fontId="38" fillId="2" borderId="0" xfId="0" applyFont="1" applyFill="1" applyBorder="1"/>
    <xf numFmtId="7" fontId="8" fillId="2" borderId="0" xfId="0" applyNumberFormat="1" applyFont="1" applyFill="1" applyBorder="1" applyAlignment="1">
      <alignment horizontal="center"/>
    </xf>
    <xf numFmtId="7" fontId="8" fillId="2" borderId="0" xfId="0" applyNumberFormat="1" applyFont="1" applyFill="1" applyBorder="1"/>
    <xf numFmtId="0" fontId="0" fillId="0" borderId="2" xfId="0" applyBorder="1"/>
    <xf numFmtId="0" fontId="0" fillId="0" borderId="0" xfId="0" applyBorder="1"/>
    <xf numFmtId="0" fontId="0" fillId="0" borderId="1" xfId="0" applyBorder="1"/>
    <xf numFmtId="0" fontId="4" fillId="2" borderId="0" xfId="0" applyFont="1" applyFill="1" applyBorder="1" applyAlignment="1">
      <alignment horizontal="center" vertical="center" wrapText="1"/>
    </xf>
    <xf numFmtId="0" fontId="39" fillId="2" borderId="0" xfId="0" applyFont="1" applyFill="1"/>
    <xf numFmtId="0" fontId="42" fillId="2" borderId="0" xfId="0" applyFont="1" applyFill="1"/>
    <xf numFmtId="0" fontId="2" fillId="0" borderId="0" xfId="0" applyFont="1"/>
    <xf numFmtId="0" fontId="2" fillId="0" borderId="0" xfId="0" applyFont="1" applyAlignment="1">
      <alignment horizontal="right"/>
    </xf>
    <xf numFmtId="0" fontId="0" fillId="0" borderId="0" xfId="0"/>
    <xf numFmtId="0" fontId="4" fillId="2" borderId="0" xfId="0" applyFont="1" applyFill="1"/>
    <xf numFmtId="37" fontId="7" fillId="3" borderId="0" xfId="1" applyNumberFormat="1" applyFont="1" applyFill="1" applyAlignment="1" applyProtection="1">
      <alignment horizontal="center"/>
      <protection locked="0"/>
    </xf>
    <xf numFmtId="0" fontId="4" fillId="2" borderId="0" xfId="0" applyFont="1" applyFill="1" applyAlignment="1"/>
    <xf numFmtId="0" fontId="0" fillId="0" borderId="0" xfId="0" applyFill="1"/>
    <xf numFmtId="0" fontId="4" fillId="2" borderId="1" xfId="0" applyFont="1" applyFill="1" applyBorder="1" applyAlignment="1">
      <alignment horizontal="center" vertical="center" wrapText="1"/>
    </xf>
    <xf numFmtId="0" fontId="42" fillId="2" borderId="0" xfId="0" applyFont="1" applyFill="1"/>
    <xf numFmtId="0" fontId="24" fillId="0" borderId="3" xfId="2" applyFont="1" applyBorder="1" applyAlignment="1" applyProtection="1">
      <alignment horizontal="left" vertical="center" wrapText="1"/>
    </xf>
    <xf numFmtId="0" fontId="25" fillId="0" borderId="2" xfId="2" applyFont="1" applyBorder="1" applyAlignment="1" applyProtection="1">
      <alignment horizontal="left" vertical="center" wrapText="1"/>
    </xf>
    <xf numFmtId="0" fontId="25" fillId="0" borderId="4" xfId="2" applyFont="1" applyBorder="1" applyAlignment="1" applyProtection="1">
      <alignment horizontal="left" vertical="center" wrapText="1"/>
    </xf>
    <xf numFmtId="0" fontId="25" fillId="0" borderId="5" xfId="2" applyFont="1" applyBorder="1" applyAlignment="1" applyProtection="1">
      <alignment horizontal="left" vertical="center" wrapText="1"/>
    </xf>
    <xf numFmtId="0" fontId="25" fillId="0" borderId="0" xfId="2" applyFont="1" applyBorder="1" applyAlignment="1" applyProtection="1">
      <alignment horizontal="left" vertical="center" wrapText="1"/>
    </xf>
    <xf numFmtId="0" fontId="25" fillId="0" borderId="6" xfId="2" applyFont="1" applyBorder="1" applyAlignment="1" applyProtection="1">
      <alignment horizontal="left" vertical="center" wrapText="1"/>
    </xf>
    <xf numFmtId="0" fontId="25" fillId="0" borderId="7" xfId="2" applyFont="1" applyBorder="1" applyAlignment="1" applyProtection="1">
      <alignment horizontal="left" vertical="center" wrapText="1"/>
    </xf>
    <xf numFmtId="0" fontId="25" fillId="0" borderId="1" xfId="2" applyFont="1" applyBorder="1" applyAlignment="1" applyProtection="1">
      <alignment horizontal="left" vertical="center" wrapText="1"/>
    </xf>
    <xf numFmtId="0" fontId="25" fillId="0" borderId="8" xfId="2" applyFont="1" applyBorder="1" applyAlignment="1" applyProtection="1">
      <alignment horizontal="left" vertical="center" wrapText="1"/>
    </xf>
    <xf numFmtId="0" fontId="24" fillId="0" borderId="3" xfId="2" applyFont="1" applyBorder="1" applyAlignment="1" applyProtection="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left" vertical="top" wrapText="1"/>
    </xf>
    <xf numFmtId="0" fontId="14" fillId="4" borderId="5" xfId="2" applyFont="1" applyFill="1" applyBorder="1" applyAlignment="1" applyProtection="1">
      <alignment horizontal="left" wrapText="1"/>
    </xf>
    <xf numFmtId="0" fontId="18" fillId="4" borderId="0" xfId="2" applyFont="1" applyFill="1" applyAlignment="1" applyProtection="1">
      <alignment wrapText="1"/>
    </xf>
    <xf numFmtId="0" fontId="18" fillId="4" borderId="5" xfId="2" applyFont="1" applyFill="1" applyBorder="1" applyAlignment="1" applyProtection="1">
      <alignment wrapText="1"/>
    </xf>
    <xf numFmtId="0" fontId="22" fillId="4" borderId="1" xfId="2" applyFont="1" applyFill="1" applyBorder="1" applyAlignment="1" applyProtection="1">
      <alignment horizontal="right"/>
    </xf>
    <xf numFmtId="0" fontId="19" fillId="4" borderId="1" xfId="2" applyFont="1" applyFill="1" applyBorder="1" applyAlignment="1" applyProtection="1">
      <alignment horizontal="right"/>
    </xf>
    <xf numFmtId="14" fontId="22" fillId="4" borderId="1" xfId="2" applyNumberFormat="1" applyFont="1" applyFill="1" applyBorder="1" applyAlignment="1" applyProtection="1">
      <alignment horizontal="left"/>
    </xf>
    <xf numFmtId="0" fontId="19" fillId="4" borderId="1" xfId="2" applyFont="1" applyFill="1" applyBorder="1" applyAlignment="1" applyProtection="1">
      <alignment horizontal="left"/>
    </xf>
    <xf numFmtId="0" fontId="23" fillId="0" borderId="0" xfId="2" applyFont="1" applyAlignment="1" applyProtection="1"/>
    <xf numFmtId="0" fontId="24" fillId="0" borderId="0" xfId="2" applyFont="1" applyAlignment="1" applyProtection="1"/>
    <xf numFmtId="0" fontId="32" fillId="0" borderId="0" xfId="2" applyFont="1" applyAlignment="1" applyProtection="1">
      <alignment horizontal="left" vertical="center" wrapText="1"/>
    </xf>
    <xf numFmtId="0" fontId="30" fillId="0" borderId="0" xfId="4" applyFont="1" applyAlignment="1" applyProtection="1"/>
    <xf numFmtId="0" fontId="24" fillId="0" borderId="0" xfId="2" applyFont="1" applyAlignment="1" applyProtection="1">
      <alignment horizontal="left" wrapText="1"/>
    </xf>
    <xf numFmtId="0" fontId="25" fillId="0" borderId="0" xfId="2" applyFont="1" applyAlignment="1" applyProtection="1">
      <alignment horizontal="left" wrapText="1"/>
    </xf>
    <xf numFmtId="0" fontId="4" fillId="2" borderId="0" xfId="0" applyFont="1" applyFill="1" applyAlignment="1"/>
    <xf numFmtId="0" fontId="0" fillId="0" borderId="0" xfId="0" applyAlignment="1"/>
    <xf numFmtId="0" fontId="6" fillId="2" borderId="0" xfId="0" applyFont="1" applyFill="1" applyAlignment="1"/>
    <xf numFmtId="0" fontId="43" fillId="2" borderId="0" xfId="0" applyFont="1" applyFill="1"/>
  </cellXfs>
  <cellStyles count="7">
    <cellStyle name="Currency" xfId="1" builtinId="4"/>
    <cellStyle name="Hyperlink" xfId="3" builtinId="8"/>
    <cellStyle name="Hyperlink 2" xfId="4"/>
    <cellStyle name="Hyperlink_K-State Vegetative Buffer" xfId="5"/>
    <cellStyle name="Normal" xfId="0" builtinId="0"/>
    <cellStyle name="Normal 2" xfId="2"/>
    <cellStyle name="Percent" xfId="6" builtinId="5"/>
  </cellStyles>
  <dxfs count="1">
    <dxf>
      <font>
        <b/>
        <i/>
        <color theme="1"/>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lumMod val="65000"/>
                    <a:lumOff val="35000"/>
                  </a:schemeClr>
                </a:solidFill>
                <a:latin typeface="+mn-lt"/>
                <a:ea typeface="+mn-ea"/>
                <a:cs typeface="+mn-cs"/>
              </a:defRPr>
            </a:pPr>
            <a:r>
              <a:rPr lang="en-US"/>
              <a:t>Expected Net Margin Difference</a:t>
            </a:r>
          </a:p>
          <a:p>
            <a:pPr>
              <a:defRPr/>
            </a:pPr>
            <a:r>
              <a:rPr lang="en-US"/>
              <a:t>($/hd vs. Sell at Weaning)</a:t>
            </a:r>
          </a:p>
        </c:rich>
      </c:tx>
      <c:layout/>
      <c:overlay val="0"/>
      <c:spPr>
        <a:noFill/>
        <a:ln>
          <a:noFill/>
        </a:ln>
        <a:effectLst/>
      </c:spPr>
      <c:txPr>
        <a:bodyPr rot="0" spcFirstLastPara="1" vertOverflow="ellipsis" vert="horz" wrap="square" anchor="ctr" anchorCtr="1"/>
        <a:lstStyle/>
        <a:p>
          <a:pPr>
            <a:defRPr sz="144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'Background Information'!$D$21:$E$21</c:f>
              <c:strCache>
                <c:ptCount val="2"/>
                <c:pt idx="0">
                  <c:v>Maximum</c:v>
                </c:pt>
              </c:strCache>
            </c:strRef>
          </c:tx>
          <c:spPr>
            <a:solidFill>
              <a:schemeClr val="accent2"/>
            </a:solidFill>
            <a:ln>
              <a:noFill/>
            </a:ln>
            <a:effectLst/>
          </c:spPr>
          <c:invertIfNegative val="0"/>
          <c:cat>
            <c:strRef>
              <c:f>'Background Information'!$F$19:$J$19</c:f>
              <c:strCache>
                <c:ptCount val="5"/>
                <c:pt idx="0">
                  <c:v>Vac24</c:v>
                </c:pt>
                <c:pt idx="1">
                  <c:v>Vac34</c:v>
                </c:pt>
                <c:pt idx="2">
                  <c:v>Vac45</c:v>
                </c:pt>
                <c:pt idx="3">
                  <c:v>Vac60</c:v>
                </c:pt>
                <c:pt idx="4">
                  <c:v>Vac PreCon</c:v>
                </c:pt>
              </c:strCache>
            </c:strRef>
          </c:cat>
          <c:val>
            <c:numRef>
              <c:f>'Background Information'!$F$21:$J$21</c:f>
              <c:numCache>
                <c:formatCode>"$"#,##0.00_);\("$"#,##0.00\)</c:formatCode>
                <c:ptCount val="5"/>
                <c:pt idx="0">
                  <c:v>0</c:v>
                </c:pt>
                <c:pt idx="1">
                  <c:v>0</c:v>
                </c:pt>
                <c:pt idx="2">
                  <c:v>0</c:v>
                </c:pt>
                <c:pt idx="3">
                  <c:v>51.144557200000463</c:v>
                </c:pt>
                <c:pt idx="4">
                  <c:v>0</c:v>
                </c:pt>
              </c:numCache>
            </c:numRef>
          </c:val>
          <c:extLst>
            <c:ext xmlns:c16="http://schemas.microsoft.com/office/drawing/2014/chart" uri="{C3380CC4-5D6E-409C-BE32-E72D297353CC}">
              <c16:uniqueId val="{00000000-1D09-412B-BAD9-689FEF15ACB0}"/>
            </c:ext>
          </c:extLst>
        </c:ser>
        <c:ser>
          <c:idx val="2"/>
          <c:order val="2"/>
          <c:tx>
            <c:strRef>
              <c:f>'Background Information'!$D$22:$E$22</c:f>
              <c:strCache>
                <c:ptCount val="2"/>
                <c:pt idx="0">
                  <c:v>Positive, but Not Maximum</c:v>
                </c:pt>
              </c:strCache>
            </c:strRef>
          </c:tx>
          <c:spPr>
            <a:solidFill>
              <a:schemeClr val="accent3"/>
            </a:solidFill>
            <a:ln>
              <a:noFill/>
            </a:ln>
            <a:effectLst/>
          </c:spPr>
          <c:invertIfNegative val="0"/>
          <c:cat>
            <c:strRef>
              <c:f>'Background Information'!$F$19:$J$19</c:f>
              <c:strCache>
                <c:ptCount val="5"/>
                <c:pt idx="0">
                  <c:v>Vac24</c:v>
                </c:pt>
                <c:pt idx="1">
                  <c:v>Vac34</c:v>
                </c:pt>
                <c:pt idx="2">
                  <c:v>Vac45</c:v>
                </c:pt>
                <c:pt idx="3">
                  <c:v>Vac60</c:v>
                </c:pt>
                <c:pt idx="4">
                  <c:v>Vac PreCon</c:v>
                </c:pt>
              </c:strCache>
            </c:strRef>
          </c:cat>
          <c:val>
            <c:numRef>
              <c:f>'Background Information'!$F$22:$J$22</c:f>
              <c:numCache>
                <c:formatCode>"$"#,##0.00_);\("$"#,##0.00\)</c:formatCode>
                <c:ptCount val="5"/>
                <c:pt idx="0">
                  <c:v>0</c:v>
                </c:pt>
                <c:pt idx="1">
                  <c:v>16.944201039999768</c:v>
                </c:pt>
                <c:pt idx="2">
                  <c:v>50.011175950000265</c:v>
                </c:pt>
                <c:pt idx="3">
                  <c:v>0</c:v>
                </c:pt>
                <c:pt idx="4">
                  <c:v>49.495583500000293</c:v>
                </c:pt>
              </c:numCache>
            </c:numRef>
          </c:val>
          <c:extLst>
            <c:ext xmlns:c16="http://schemas.microsoft.com/office/drawing/2014/chart" uri="{C3380CC4-5D6E-409C-BE32-E72D297353CC}">
              <c16:uniqueId val="{00000001-1D09-412B-BAD9-689FEF15ACB0}"/>
            </c:ext>
          </c:extLst>
        </c:ser>
        <c:ser>
          <c:idx val="3"/>
          <c:order val="3"/>
          <c:tx>
            <c:strRef>
              <c:f>'Background Information'!$D$23:$E$23</c:f>
              <c:strCache>
                <c:ptCount val="2"/>
                <c:pt idx="0">
                  <c:v>Negative (Sell at Weaning Is Higher)</c:v>
                </c:pt>
              </c:strCache>
            </c:strRef>
          </c:tx>
          <c:spPr>
            <a:solidFill>
              <a:schemeClr val="accent4"/>
            </a:solidFill>
            <a:ln>
              <a:noFill/>
            </a:ln>
            <a:effectLst/>
          </c:spPr>
          <c:invertIfNegative val="0"/>
          <c:cat>
            <c:strRef>
              <c:f>'Background Information'!$F$19:$J$19</c:f>
              <c:strCache>
                <c:ptCount val="5"/>
                <c:pt idx="0">
                  <c:v>Vac24</c:v>
                </c:pt>
                <c:pt idx="1">
                  <c:v>Vac34</c:v>
                </c:pt>
                <c:pt idx="2">
                  <c:v>Vac45</c:v>
                </c:pt>
                <c:pt idx="3">
                  <c:v>Vac60</c:v>
                </c:pt>
                <c:pt idx="4">
                  <c:v>Vac PreCon</c:v>
                </c:pt>
              </c:strCache>
            </c:strRef>
          </c:cat>
          <c:val>
            <c:numRef>
              <c:f>'Background Information'!$F$23:$J$23</c:f>
              <c:numCache>
                <c:formatCode>"$"#,##0.00_);\("$"#,##0.00\)</c:formatCode>
                <c:ptCount val="5"/>
                <c:pt idx="0">
                  <c:v>-15.161983520000199</c:v>
                </c:pt>
                <c:pt idx="1">
                  <c:v>0</c:v>
                </c:pt>
                <c:pt idx="2">
                  <c:v>0</c:v>
                </c:pt>
                <c:pt idx="3">
                  <c:v>0</c:v>
                </c:pt>
                <c:pt idx="4">
                  <c:v>0</c:v>
                </c:pt>
              </c:numCache>
            </c:numRef>
          </c:val>
          <c:extLst>
            <c:ext xmlns:c16="http://schemas.microsoft.com/office/drawing/2014/chart" uri="{C3380CC4-5D6E-409C-BE32-E72D297353CC}">
              <c16:uniqueId val="{00000002-1D09-412B-BAD9-689FEF15ACB0}"/>
            </c:ext>
          </c:extLst>
        </c:ser>
        <c:dLbls>
          <c:showLegendKey val="0"/>
          <c:showVal val="0"/>
          <c:showCatName val="0"/>
          <c:showSerName val="0"/>
          <c:showPercent val="0"/>
          <c:showBubbleSize val="0"/>
        </c:dLbls>
        <c:gapWidth val="219"/>
        <c:overlap val="-27"/>
        <c:axId val="1421605407"/>
        <c:axId val="1347279423"/>
        <c:extLst>
          <c:ext xmlns:c15="http://schemas.microsoft.com/office/drawing/2012/chart" uri="{02D57815-91ED-43cb-92C2-25804820EDAC}">
            <c15:filteredBarSeries>
              <c15:ser>
                <c:idx val="0"/>
                <c:order val="0"/>
                <c:tx>
                  <c:strRef>
                    <c:extLst>
                      <c:ext uri="{02D57815-91ED-43cb-92C2-25804820EDAC}">
                        <c15:formulaRef>
                          <c15:sqref>'Background Information'!$D$20:$E$20</c15:sqref>
                        </c15:formulaRef>
                      </c:ext>
                    </c:extLst>
                    <c:strCache>
                      <c:ptCount val="2"/>
                      <c:pt idx="0">
                        <c:v>Expected Net Margin ($/hd vs. Sell @ Weaning)</c:v>
                      </c:pt>
                    </c:strCache>
                  </c:strRef>
                </c:tx>
                <c:spPr>
                  <a:solidFill>
                    <a:schemeClr val="accent1"/>
                  </a:solidFill>
                  <a:ln>
                    <a:noFill/>
                  </a:ln>
                  <a:effectLst/>
                </c:spPr>
                <c:invertIfNegative val="0"/>
                <c:cat>
                  <c:strRef>
                    <c:extLst>
                      <c:ext uri="{02D57815-91ED-43cb-92C2-25804820EDAC}">
                        <c15:formulaRef>
                          <c15:sqref>'Background Information'!$F$19:$J$19</c15:sqref>
                        </c15:formulaRef>
                      </c:ext>
                    </c:extLst>
                    <c:strCache>
                      <c:ptCount val="5"/>
                      <c:pt idx="0">
                        <c:v>Vac24</c:v>
                      </c:pt>
                      <c:pt idx="1">
                        <c:v>Vac34</c:v>
                      </c:pt>
                      <c:pt idx="2">
                        <c:v>Vac45</c:v>
                      </c:pt>
                      <c:pt idx="3">
                        <c:v>Vac60</c:v>
                      </c:pt>
                      <c:pt idx="4">
                        <c:v>Vac PreCon</c:v>
                      </c:pt>
                    </c:strCache>
                  </c:strRef>
                </c:cat>
                <c:val>
                  <c:numRef>
                    <c:extLst>
                      <c:ext uri="{02D57815-91ED-43cb-92C2-25804820EDAC}">
                        <c15:formulaRef>
                          <c15:sqref>'Background Information'!$F$20:$J$20</c15:sqref>
                        </c15:formulaRef>
                      </c:ext>
                    </c:extLst>
                    <c:numCache>
                      <c:formatCode>"$"#,##0.00_);\("$"#,##0.00\)</c:formatCode>
                      <c:ptCount val="5"/>
                      <c:pt idx="0">
                        <c:v>-15.161983520000199</c:v>
                      </c:pt>
                      <c:pt idx="1">
                        <c:v>16.944201039999768</c:v>
                      </c:pt>
                      <c:pt idx="2">
                        <c:v>50.011175950000265</c:v>
                      </c:pt>
                      <c:pt idx="3">
                        <c:v>51.144557200000463</c:v>
                      </c:pt>
                      <c:pt idx="4">
                        <c:v>49.495583500000293</c:v>
                      </c:pt>
                    </c:numCache>
                  </c:numRef>
                </c:val>
                <c:extLst>
                  <c:ext xmlns:c16="http://schemas.microsoft.com/office/drawing/2014/chart" uri="{C3380CC4-5D6E-409C-BE32-E72D297353CC}">
                    <c16:uniqueId val="{00000003-1D09-412B-BAD9-689FEF15ACB0}"/>
                  </c:ext>
                </c:extLst>
              </c15:ser>
            </c15:filteredBarSeries>
          </c:ext>
        </c:extLst>
      </c:barChart>
      <c:catAx>
        <c:axId val="1421605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1347279423"/>
        <c:crosses val="autoZero"/>
        <c:auto val="1"/>
        <c:lblAlgn val="ctr"/>
        <c:lblOffset val="100"/>
        <c:noMultiLvlLbl val="0"/>
      </c:catAx>
      <c:valAx>
        <c:axId val="1347279423"/>
        <c:scaling>
          <c:orientation val="minMax"/>
          <c:max val="100"/>
          <c:min val="-50"/>
        </c:scaling>
        <c:delete val="0"/>
        <c:axPos val="l"/>
        <c:majorGridlines>
          <c:spPr>
            <a:ln w="9525" cap="flat" cmpd="sng" algn="ctr">
              <a:solidFill>
                <a:schemeClr val="tx1">
                  <a:lumMod val="15000"/>
                  <a:lumOff val="85000"/>
                </a:schemeClr>
              </a:solidFill>
              <a:round/>
            </a:ln>
            <a:effectLst/>
          </c:spPr>
        </c:majorGridlines>
        <c:numFmt formatCode="&quot;$&quot;#,##0_);[Red]\(&quot;$&quot;#,##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1421605407"/>
        <c:crosses val="autoZero"/>
        <c:crossBetween val="between"/>
        <c:majorUnit val="2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http://www.AgManager.info" TargetMode="External"/><Relationship Id="rId6" Type="http://schemas.openxmlformats.org/officeDocument/2006/relationships/hyperlink" Target="https://www.merck-animal-health-usa.com/" TargetMode="External"/><Relationship Id="rId5" Type="http://schemas.openxmlformats.org/officeDocument/2006/relationships/image" Target="../media/image3.jpg"/><Relationship Id="rId4" Type="http://schemas.openxmlformats.org/officeDocument/2006/relationships/hyperlink" Target="http://www.ageconomics.k-state.edu/"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10</xdr:col>
      <xdr:colOff>223629</xdr:colOff>
      <xdr:row>1</xdr:row>
      <xdr:rowOff>147016</xdr:rowOff>
    </xdr:from>
    <xdr:to>
      <xdr:col>11</xdr:col>
      <xdr:colOff>691635</xdr:colOff>
      <xdr:row>6</xdr:row>
      <xdr:rowOff>140315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29154" y="347041"/>
          <a:ext cx="1077606" cy="1145824"/>
        </a:xfrm>
        <a:prstGeom prst="rect">
          <a:avLst/>
        </a:prstGeom>
      </xdr:spPr>
    </xdr:pic>
    <xdr:clientData/>
  </xdr:twoCellAnchor>
  <xdr:twoCellAnchor editAs="oneCell">
    <xdr:from>
      <xdr:col>1</xdr:col>
      <xdr:colOff>0</xdr:colOff>
      <xdr:row>8</xdr:row>
      <xdr:rowOff>10353</xdr:rowOff>
    </xdr:from>
    <xdr:to>
      <xdr:col>12</xdr:col>
      <xdr:colOff>0</xdr:colOff>
      <xdr:row>23</xdr:row>
      <xdr:rowOff>2070</xdr:rowOff>
    </xdr:to>
    <xdr:pic>
      <xdr:nvPicPr>
        <xdr:cNvPr id="4" name="Picture 3">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2045" b="20829"/>
        <a:stretch/>
      </xdr:blipFill>
      <xdr:spPr>
        <a:xfrm>
          <a:off x="257175" y="1772478"/>
          <a:ext cx="7315200" cy="2858742"/>
        </a:xfrm>
        <a:prstGeom prst="rect">
          <a:avLst/>
        </a:prstGeom>
        <a:ln>
          <a:solidFill>
            <a:sysClr val="windowText" lastClr="000000"/>
          </a:solidFill>
        </a:ln>
      </xdr:spPr>
    </xdr:pic>
    <xdr:clientData/>
  </xdr:twoCellAnchor>
  <xdr:twoCellAnchor editAs="oneCell">
    <xdr:from>
      <xdr:col>8</xdr:col>
      <xdr:colOff>519733</xdr:colOff>
      <xdr:row>20</xdr:row>
      <xdr:rowOff>65433</xdr:rowOff>
    </xdr:from>
    <xdr:to>
      <xdr:col>12</xdr:col>
      <xdr:colOff>18635</xdr:colOff>
      <xdr:row>23</xdr:row>
      <xdr:rowOff>414</xdr:rowOff>
    </xdr:to>
    <xdr:pic>
      <xdr:nvPicPr>
        <xdr:cNvPr id="5" name="Picture 4">
          <a:hlinkClick xmlns:r="http://schemas.openxmlformats.org/officeDocument/2006/relationships" r:id="rId4"/>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253658" y="4123083"/>
          <a:ext cx="2337352" cy="506481"/>
        </a:xfrm>
        <a:prstGeom prst="rect">
          <a:avLst/>
        </a:prstGeom>
      </xdr:spPr>
    </xdr:pic>
    <xdr:clientData/>
  </xdr:twoCellAnchor>
  <xdr:twoCellAnchor editAs="oneCell">
    <xdr:from>
      <xdr:col>1</xdr:col>
      <xdr:colOff>151158</xdr:colOff>
      <xdr:row>19</xdr:row>
      <xdr:rowOff>114301</xdr:rowOff>
    </xdr:from>
    <xdr:to>
      <xdr:col>3</xdr:col>
      <xdr:colOff>148673</xdr:colOff>
      <xdr:row>22</xdr:row>
      <xdr:rowOff>36444</xdr:rowOff>
    </xdr:to>
    <xdr:pic>
      <xdr:nvPicPr>
        <xdr:cNvPr id="6" name="Picture 5">
          <a:hlinkClick xmlns:r="http://schemas.openxmlformats.org/officeDocument/2006/relationships" r:id="rId6"/>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8333" y="3981451"/>
          <a:ext cx="1426265" cy="4936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xdr:colOff>
      <xdr:row>0</xdr:row>
      <xdr:rowOff>190499</xdr:rowOff>
    </xdr:from>
    <xdr:to>
      <xdr:col>19</xdr:col>
      <xdr:colOff>47625</xdr:colOff>
      <xdr:row>23</xdr:row>
      <xdr:rowOff>190499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erck-animal-health-usa.com/" TargetMode="External"/><Relationship Id="rId7" Type="http://schemas.openxmlformats.org/officeDocument/2006/relationships/drawing" Target="../drawings/drawing1.xml"/><Relationship Id="rId2" Type="http://schemas.openxmlformats.org/officeDocument/2006/relationships/hyperlink" Target="http://www.superiorlivestock.com/files/vac_programs.pdf" TargetMode="External"/><Relationship Id="rId1" Type="http://schemas.openxmlformats.org/officeDocument/2006/relationships/hyperlink" Target="mailto:gtonsor@k-state.edu" TargetMode="External"/><Relationship Id="rId6" Type="http://schemas.openxmlformats.org/officeDocument/2006/relationships/printerSettings" Target="../printerSettings/printerSettings1.bin"/><Relationship Id="rId5" Type="http://schemas.openxmlformats.org/officeDocument/2006/relationships/hyperlink" Target="mailto:drenter@vet.ksu.edu" TargetMode="External"/><Relationship Id="rId4" Type="http://schemas.openxmlformats.org/officeDocument/2006/relationships/hyperlink" Target="https://www.agmanager.info/"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officetooltips.com/excel_2016/tips/displaying_conditional_colors_in_a_column_char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tabSelected="1" zoomScaleNormal="100" workbookViewId="0">
      <selection activeCell="O22" sqref="O22"/>
    </sheetView>
  </sheetViews>
  <sheetFormatPr defaultRowHeight="15" x14ac:dyDescent="0.25"/>
  <cols>
    <col min="1" max="1" width="7.42578125" customWidth="1"/>
    <col min="2" max="2" width="12.28515625" customWidth="1"/>
    <col min="10" max="10" width="11.42578125" customWidth="1"/>
    <col min="12" max="12" width="12.85546875" customWidth="1"/>
  </cols>
  <sheetData>
    <row r="1" spans="1:22" ht="6.75" customHeight="1" thickBot="1" x14ac:dyDescent="0.3">
      <c r="A1" s="15"/>
      <c r="B1" s="15"/>
      <c r="C1" s="15"/>
      <c r="D1" s="15"/>
      <c r="E1" s="15"/>
      <c r="F1" s="15"/>
      <c r="G1" s="15"/>
      <c r="H1" s="15"/>
      <c r="I1" s="15"/>
      <c r="J1" s="15"/>
      <c r="K1" s="15"/>
      <c r="L1" s="15"/>
    </row>
    <row r="2" spans="1:22" ht="15.75" x14ac:dyDescent="0.25">
      <c r="A2" s="15"/>
      <c r="B2" s="16"/>
      <c r="C2" s="17"/>
      <c r="D2" s="17"/>
      <c r="E2" s="17"/>
      <c r="F2" s="17"/>
      <c r="G2" s="17"/>
      <c r="H2" s="17"/>
      <c r="I2" s="17"/>
      <c r="J2" s="17"/>
      <c r="K2" s="17"/>
      <c r="L2" s="18"/>
    </row>
    <row r="3" spans="1:22" ht="26.25" x14ac:dyDescent="0.4">
      <c r="A3" s="15"/>
      <c r="B3" s="19" t="s">
        <v>8</v>
      </c>
      <c r="C3" s="20"/>
      <c r="D3" s="20"/>
      <c r="E3" s="20"/>
      <c r="F3" s="20"/>
      <c r="G3" s="20"/>
      <c r="H3" s="21"/>
      <c r="I3" s="21"/>
      <c r="J3" s="22"/>
      <c r="K3" s="22"/>
      <c r="L3" s="23"/>
    </row>
    <row r="4" spans="1:22" ht="17.25" x14ac:dyDescent="0.3">
      <c r="A4" s="15"/>
      <c r="B4" s="24"/>
      <c r="C4" s="25"/>
      <c r="D4" s="26"/>
      <c r="E4" s="26"/>
      <c r="F4" s="27"/>
      <c r="G4" s="27"/>
      <c r="H4" s="21"/>
      <c r="I4" s="21"/>
      <c r="J4" s="22"/>
      <c r="K4" s="22"/>
      <c r="L4" s="23"/>
    </row>
    <row r="5" spans="1:22" ht="15.75" x14ac:dyDescent="0.25">
      <c r="A5" s="15"/>
      <c r="B5" s="134" t="s">
        <v>9</v>
      </c>
      <c r="C5" s="135"/>
      <c r="D5" s="135"/>
      <c r="E5" s="135"/>
      <c r="F5" s="135"/>
      <c r="G5" s="135"/>
      <c r="H5" s="135"/>
      <c r="I5" s="135"/>
      <c r="J5" s="22"/>
      <c r="K5" s="22"/>
      <c r="L5" s="23"/>
      <c r="N5" s="109"/>
      <c r="O5" s="109"/>
      <c r="P5" s="109"/>
      <c r="Q5" s="109"/>
      <c r="R5" s="109"/>
      <c r="S5" s="109"/>
      <c r="T5" s="109"/>
      <c r="U5" s="109"/>
      <c r="V5" s="109"/>
    </row>
    <row r="6" spans="1:22" ht="15.75" x14ac:dyDescent="0.25">
      <c r="A6" s="15"/>
      <c r="B6" s="136"/>
      <c r="C6" s="135"/>
      <c r="D6" s="135"/>
      <c r="E6" s="135"/>
      <c r="F6" s="135"/>
      <c r="G6" s="135"/>
      <c r="H6" s="135"/>
      <c r="I6" s="135"/>
      <c r="J6" s="22"/>
      <c r="K6" s="22"/>
      <c r="L6" s="23"/>
      <c r="N6" s="109"/>
      <c r="O6" s="109"/>
      <c r="P6" s="109"/>
      <c r="Q6" s="109"/>
      <c r="R6" s="109"/>
      <c r="S6" s="109"/>
      <c r="T6" s="109"/>
      <c r="U6" s="109"/>
      <c r="V6" s="109"/>
    </row>
    <row r="7" spans="1:22" ht="15.75" x14ac:dyDescent="0.25">
      <c r="A7" s="15"/>
      <c r="B7" s="28"/>
      <c r="C7" s="29"/>
      <c r="D7" s="29"/>
      <c r="E7" s="29"/>
      <c r="F7" s="29"/>
      <c r="G7" s="29"/>
      <c r="H7" s="29"/>
      <c r="I7" s="22"/>
      <c r="J7" s="22"/>
      <c r="K7" s="30"/>
      <c r="L7" s="31"/>
      <c r="N7" s="109"/>
      <c r="O7" s="109"/>
      <c r="P7" s="109"/>
      <c r="Q7" s="109"/>
      <c r="R7" s="109"/>
      <c r="S7" s="109"/>
      <c r="T7" s="109"/>
      <c r="U7" s="109"/>
      <c r="V7" s="109"/>
    </row>
    <row r="8" spans="1:22" ht="16.5" thickBot="1" x14ac:dyDescent="0.3">
      <c r="A8" s="15"/>
      <c r="B8" s="32"/>
      <c r="C8" s="137"/>
      <c r="D8" s="138"/>
      <c r="E8" s="139"/>
      <c r="F8" s="140"/>
      <c r="G8" s="33"/>
      <c r="H8" s="33"/>
      <c r="I8" s="33"/>
      <c r="J8" s="33"/>
      <c r="K8" s="34"/>
      <c r="L8" s="35" t="s">
        <v>124</v>
      </c>
      <c r="N8" s="109"/>
      <c r="O8" s="109"/>
      <c r="P8" s="109"/>
      <c r="Q8" s="109"/>
      <c r="R8" s="109"/>
      <c r="S8" s="109"/>
      <c r="T8" s="109"/>
      <c r="U8" s="109"/>
      <c r="V8" s="109"/>
    </row>
    <row r="9" spans="1:22" ht="15.75" x14ac:dyDescent="0.25">
      <c r="A9" s="15"/>
      <c r="B9" s="36"/>
      <c r="C9" s="36"/>
      <c r="D9" s="36"/>
      <c r="E9" s="36"/>
      <c r="F9" s="36"/>
      <c r="G9" s="37"/>
      <c r="H9" s="36"/>
      <c r="I9" s="36"/>
      <c r="J9" s="36"/>
      <c r="K9" s="36"/>
      <c r="L9" s="36"/>
    </row>
    <row r="10" spans="1:22" x14ac:dyDescent="0.25">
      <c r="A10" s="15"/>
      <c r="B10" s="15"/>
      <c r="C10" s="15"/>
      <c r="D10" s="15"/>
      <c r="E10" s="15"/>
      <c r="F10" s="15"/>
      <c r="G10" s="15"/>
      <c r="H10" s="15"/>
      <c r="I10" s="15"/>
      <c r="J10" s="15"/>
      <c r="K10" s="15"/>
      <c r="L10" s="15"/>
    </row>
    <row r="11" spans="1:22" x14ac:dyDescent="0.25">
      <c r="A11" s="15"/>
      <c r="B11" s="15"/>
      <c r="C11" s="15"/>
      <c r="D11" s="15"/>
      <c r="E11" s="15"/>
      <c r="F11" s="15"/>
      <c r="G11" s="15"/>
      <c r="H11" s="15"/>
      <c r="I11" s="15"/>
      <c r="J11" s="15"/>
      <c r="K11" s="15"/>
      <c r="L11" s="15"/>
    </row>
    <row r="12" spans="1:22" x14ac:dyDescent="0.25">
      <c r="A12" s="15"/>
      <c r="B12" s="15"/>
      <c r="C12" s="15"/>
      <c r="D12" s="15"/>
      <c r="E12" s="15"/>
      <c r="F12" s="15"/>
      <c r="G12" s="15"/>
      <c r="H12" s="15"/>
      <c r="I12" s="15"/>
      <c r="J12" s="15"/>
      <c r="K12" s="15"/>
      <c r="L12" s="15"/>
    </row>
    <row r="13" spans="1:22" x14ac:dyDescent="0.25">
      <c r="A13" s="15"/>
      <c r="B13" s="15"/>
      <c r="C13" s="15"/>
      <c r="D13" s="15"/>
      <c r="E13" s="15"/>
      <c r="F13" s="15"/>
      <c r="G13" s="15"/>
      <c r="H13" s="15"/>
      <c r="I13" s="15"/>
      <c r="J13" s="15"/>
      <c r="K13" s="15"/>
      <c r="L13" s="15"/>
    </row>
    <row r="14" spans="1:22" x14ac:dyDescent="0.25">
      <c r="A14" s="15"/>
      <c r="B14" s="15"/>
      <c r="C14" s="15"/>
      <c r="D14" s="15"/>
      <c r="E14" s="15"/>
      <c r="F14" s="15"/>
      <c r="G14" s="15"/>
      <c r="H14" s="15"/>
      <c r="I14" s="15"/>
      <c r="J14" s="15"/>
      <c r="K14" s="15"/>
      <c r="L14" s="15"/>
    </row>
    <row r="15" spans="1:22" x14ac:dyDescent="0.25">
      <c r="A15" s="15"/>
      <c r="B15" s="15"/>
      <c r="C15" s="15"/>
      <c r="D15" s="15"/>
      <c r="E15" s="15"/>
      <c r="F15" s="15"/>
      <c r="G15" s="15"/>
      <c r="H15" s="15"/>
      <c r="I15" s="15"/>
      <c r="J15" s="15"/>
      <c r="K15" s="15"/>
      <c r="L15" s="15"/>
    </row>
    <row r="16" spans="1:22" x14ac:dyDescent="0.25">
      <c r="A16" s="15"/>
      <c r="B16" s="15"/>
      <c r="C16" s="15"/>
      <c r="D16" s="15"/>
      <c r="E16" s="15"/>
      <c r="F16" s="15"/>
      <c r="G16" s="15"/>
      <c r="H16" s="15"/>
      <c r="I16" s="15"/>
      <c r="J16" s="15"/>
      <c r="K16" s="15"/>
      <c r="L16" s="15"/>
    </row>
    <row r="17" spans="1:12" x14ac:dyDescent="0.25">
      <c r="A17" s="15"/>
      <c r="B17" s="15"/>
      <c r="C17" s="15"/>
      <c r="D17" s="15"/>
      <c r="E17" s="15"/>
      <c r="F17" s="15"/>
      <c r="G17" s="15"/>
      <c r="H17" s="15"/>
      <c r="I17" s="15"/>
      <c r="J17" s="15"/>
      <c r="K17" s="15"/>
      <c r="L17" s="15"/>
    </row>
    <row r="18" spans="1:12" x14ac:dyDescent="0.25">
      <c r="A18" s="15"/>
      <c r="B18" s="15"/>
      <c r="C18" s="15"/>
      <c r="D18" s="15"/>
      <c r="E18" s="15"/>
      <c r="F18" s="15"/>
      <c r="G18" s="15"/>
      <c r="H18" s="15"/>
      <c r="I18" s="15"/>
      <c r="J18" s="15"/>
      <c r="K18" s="15"/>
      <c r="L18" s="15"/>
    </row>
    <row r="19" spans="1:12" x14ac:dyDescent="0.25">
      <c r="A19" s="15"/>
      <c r="B19" s="15"/>
      <c r="C19" s="15"/>
      <c r="D19" s="15"/>
      <c r="E19" s="15"/>
      <c r="F19" s="15"/>
      <c r="G19" s="15"/>
      <c r="H19" s="15"/>
      <c r="I19" s="15"/>
      <c r="J19" s="15"/>
      <c r="K19" s="15"/>
      <c r="L19" s="15"/>
    </row>
    <row r="20" spans="1:12" x14ac:dyDescent="0.25">
      <c r="A20" s="15"/>
      <c r="B20" s="15"/>
      <c r="C20" s="15"/>
      <c r="D20" s="15"/>
      <c r="E20" s="15"/>
      <c r="F20" s="15"/>
      <c r="G20" s="15"/>
      <c r="H20" s="15"/>
      <c r="I20" s="15"/>
      <c r="J20" s="15"/>
      <c r="K20" s="15"/>
      <c r="L20" s="15"/>
    </row>
    <row r="21" spans="1:12" x14ac:dyDescent="0.25">
      <c r="A21" s="15"/>
      <c r="B21" s="15"/>
      <c r="C21" s="15"/>
      <c r="D21" s="15"/>
      <c r="E21" s="15"/>
      <c r="F21" s="15"/>
      <c r="G21" s="15"/>
      <c r="H21" s="15"/>
      <c r="I21" s="15"/>
      <c r="J21" s="15"/>
      <c r="K21" s="15"/>
      <c r="L21" s="15"/>
    </row>
    <row r="22" spans="1:12" x14ac:dyDescent="0.25">
      <c r="A22" s="15"/>
      <c r="B22" s="15"/>
      <c r="C22" s="15"/>
      <c r="D22" s="15"/>
      <c r="E22" s="15"/>
      <c r="F22" s="15"/>
      <c r="G22" s="15"/>
      <c r="H22" s="15"/>
      <c r="I22" s="15"/>
      <c r="J22" s="15"/>
      <c r="K22" s="15"/>
      <c r="L22" s="15"/>
    </row>
    <row r="23" spans="1:12" x14ac:dyDescent="0.25">
      <c r="A23" s="15"/>
      <c r="B23" s="15"/>
      <c r="C23" s="15"/>
      <c r="D23" s="15"/>
      <c r="E23" s="15"/>
      <c r="F23" s="15"/>
      <c r="G23" s="15"/>
      <c r="H23" s="15"/>
      <c r="I23" s="15"/>
      <c r="J23" s="15"/>
      <c r="K23" s="15"/>
      <c r="L23" s="15"/>
    </row>
    <row r="24" spans="1:12" x14ac:dyDescent="0.25">
      <c r="A24" s="15"/>
      <c r="B24" s="15"/>
      <c r="C24" s="15"/>
      <c r="D24" s="15"/>
      <c r="E24" s="15"/>
      <c r="F24" s="15"/>
      <c r="G24" s="15"/>
      <c r="H24" s="15"/>
      <c r="I24" s="15"/>
      <c r="J24" s="15"/>
      <c r="K24" s="15"/>
      <c r="L24" s="15"/>
    </row>
    <row r="25" spans="1:12" ht="16.5" thickBot="1" x14ac:dyDescent="0.3">
      <c r="A25" s="15"/>
      <c r="B25" s="38" t="s">
        <v>10</v>
      </c>
      <c r="C25" s="39"/>
      <c r="D25" s="39"/>
      <c r="E25" s="39"/>
      <c r="F25" s="40"/>
      <c r="G25" s="40"/>
      <c r="H25" s="40"/>
      <c r="I25" s="40"/>
      <c r="J25" s="40"/>
      <c r="K25" s="40"/>
      <c r="L25" s="40"/>
    </row>
    <row r="26" spans="1:12" x14ac:dyDescent="0.25">
      <c r="A26" s="15"/>
      <c r="B26" s="125" t="s">
        <v>36</v>
      </c>
      <c r="C26" s="126"/>
      <c r="D26" s="126"/>
      <c r="E26" s="126"/>
      <c r="F26" s="126"/>
      <c r="G26" s="126"/>
      <c r="H26" s="126"/>
      <c r="I26" s="126"/>
      <c r="J26" s="126"/>
      <c r="K26" s="126"/>
      <c r="L26" s="127"/>
    </row>
    <row r="27" spans="1:12" x14ac:dyDescent="0.25">
      <c r="A27" s="15"/>
      <c r="B27" s="128"/>
      <c r="C27" s="129"/>
      <c r="D27" s="129"/>
      <c r="E27" s="129"/>
      <c r="F27" s="129"/>
      <c r="G27" s="129"/>
      <c r="H27" s="129"/>
      <c r="I27" s="129"/>
      <c r="J27" s="129"/>
      <c r="K27" s="129"/>
      <c r="L27" s="130"/>
    </row>
    <row r="28" spans="1:12" ht="15.75" thickBot="1" x14ac:dyDescent="0.3">
      <c r="A28" s="15"/>
      <c r="B28" s="131"/>
      <c r="C28" s="132"/>
      <c r="D28" s="132"/>
      <c r="E28" s="132"/>
      <c r="F28" s="132"/>
      <c r="G28" s="132"/>
      <c r="H28" s="132"/>
      <c r="I28" s="132"/>
      <c r="J28" s="132"/>
      <c r="K28" s="132"/>
      <c r="L28" s="133"/>
    </row>
    <row r="29" spans="1:12" x14ac:dyDescent="0.25">
      <c r="A29" s="15"/>
      <c r="B29" s="52"/>
      <c r="C29" s="52"/>
      <c r="D29" s="52"/>
      <c r="E29" s="52"/>
      <c r="F29" s="52"/>
      <c r="G29" s="52"/>
      <c r="H29" s="52"/>
      <c r="I29" s="52"/>
      <c r="J29" s="52"/>
      <c r="K29" s="52"/>
      <c r="L29" s="52"/>
    </row>
    <row r="30" spans="1:12" ht="15.75" x14ac:dyDescent="0.25">
      <c r="A30" s="15"/>
      <c r="B30" s="141" t="s">
        <v>11</v>
      </c>
      <c r="C30" s="142"/>
      <c r="D30" s="142"/>
      <c r="E30" s="142"/>
      <c r="F30" s="41"/>
      <c r="G30" s="42"/>
      <c r="H30" s="41"/>
      <c r="I30" s="41"/>
      <c r="J30" s="41"/>
      <c r="K30" s="41"/>
      <c r="L30" s="41"/>
    </row>
    <row r="31" spans="1:12" ht="15.75" x14ac:dyDescent="0.25">
      <c r="A31" s="15"/>
      <c r="B31" s="39" t="s">
        <v>12</v>
      </c>
      <c r="C31" s="39"/>
      <c r="D31" s="39"/>
      <c r="E31" s="39"/>
      <c r="F31" s="40"/>
      <c r="G31" s="43"/>
      <c r="H31" s="40"/>
      <c r="I31" s="40"/>
      <c r="J31" s="40"/>
      <c r="K31" s="40"/>
      <c r="L31" s="40"/>
    </row>
    <row r="32" spans="1:12" ht="16.5" thickBot="1" x14ac:dyDescent="0.3">
      <c r="A32" s="15"/>
      <c r="B32" s="39"/>
      <c r="C32" s="39"/>
      <c r="D32" s="39"/>
      <c r="E32" s="39"/>
      <c r="F32" s="40"/>
      <c r="G32" s="43"/>
      <c r="H32" s="40"/>
      <c r="I32" s="40"/>
      <c r="J32" s="40"/>
      <c r="K32" s="40"/>
      <c r="L32" s="40"/>
    </row>
    <row r="33" spans="1:12" x14ac:dyDescent="0.25">
      <c r="A33" s="15"/>
      <c r="B33" s="116" t="s">
        <v>115</v>
      </c>
      <c r="C33" s="117"/>
      <c r="D33" s="117"/>
      <c r="E33" s="117"/>
      <c r="F33" s="117"/>
      <c r="G33" s="117"/>
      <c r="H33" s="117"/>
      <c r="I33" s="117"/>
      <c r="J33" s="117"/>
      <c r="K33" s="117"/>
      <c r="L33" s="118"/>
    </row>
    <row r="34" spans="1:12" x14ac:dyDescent="0.25">
      <c r="A34" s="15"/>
      <c r="B34" s="119"/>
      <c r="C34" s="120"/>
      <c r="D34" s="120"/>
      <c r="E34" s="120"/>
      <c r="F34" s="120"/>
      <c r="G34" s="120"/>
      <c r="H34" s="120"/>
      <c r="I34" s="120"/>
      <c r="J34" s="120"/>
      <c r="K34" s="120"/>
      <c r="L34" s="121"/>
    </row>
    <row r="35" spans="1:12" x14ac:dyDescent="0.25">
      <c r="A35" s="15"/>
      <c r="B35" s="119"/>
      <c r="C35" s="120"/>
      <c r="D35" s="120"/>
      <c r="E35" s="120"/>
      <c r="F35" s="120"/>
      <c r="G35" s="120"/>
      <c r="H35" s="120"/>
      <c r="I35" s="120"/>
      <c r="J35" s="120"/>
      <c r="K35" s="120"/>
      <c r="L35" s="121"/>
    </row>
    <row r="36" spans="1:12" x14ac:dyDescent="0.25">
      <c r="A36" s="15"/>
      <c r="B36" s="119"/>
      <c r="C36" s="120"/>
      <c r="D36" s="120"/>
      <c r="E36" s="120"/>
      <c r="F36" s="120"/>
      <c r="G36" s="120"/>
      <c r="H36" s="120"/>
      <c r="I36" s="120"/>
      <c r="J36" s="120"/>
      <c r="K36" s="120"/>
      <c r="L36" s="121"/>
    </row>
    <row r="37" spans="1:12" ht="15.75" thickBot="1" x14ac:dyDescent="0.3">
      <c r="A37" s="15"/>
      <c r="B37" s="122"/>
      <c r="C37" s="123"/>
      <c r="D37" s="123"/>
      <c r="E37" s="123"/>
      <c r="F37" s="123"/>
      <c r="G37" s="123"/>
      <c r="H37" s="123"/>
      <c r="I37" s="123"/>
      <c r="J37" s="123"/>
      <c r="K37" s="123"/>
      <c r="L37" s="124"/>
    </row>
    <row r="38" spans="1:12" ht="15.75" x14ac:dyDescent="0.25">
      <c r="A38" s="15"/>
      <c r="B38" s="44"/>
      <c r="C38" s="44"/>
      <c r="D38" s="44"/>
      <c r="E38" s="44"/>
      <c r="F38" s="44"/>
      <c r="G38" s="44"/>
      <c r="H38" s="44"/>
      <c r="I38" s="44"/>
      <c r="J38" s="44"/>
      <c r="K38" s="44"/>
      <c r="L38" s="44"/>
    </row>
    <row r="39" spans="1:12" ht="15.75" x14ac:dyDescent="0.25">
      <c r="A39" s="15"/>
      <c r="B39" s="45" t="s">
        <v>13</v>
      </c>
      <c r="C39" s="40"/>
      <c r="D39" s="41"/>
      <c r="E39" s="41"/>
      <c r="F39" s="41"/>
      <c r="G39" s="41"/>
      <c r="H39" s="41"/>
      <c r="I39" s="41"/>
      <c r="J39" s="41"/>
      <c r="K39" s="41"/>
      <c r="L39" s="41"/>
    </row>
    <row r="40" spans="1:12" ht="15.75" x14ac:dyDescent="0.25">
      <c r="A40" s="45"/>
      <c r="B40" s="40" t="s">
        <v>81</v>
      </c>
      <c r="C40" s="45"/>
      <c r="D40" s="45"/>
      <c r="E40" s="45"/>
      <c r="F40" s="45"/>
      <c r="G40" s="45"/>
      <c r="H40" s="45"/>
      <c r="I40" s="45"/>
      <c r="J40" s="45"/>
      <c r="K40" s="45"/>
      <c r="L40" s="45"/>
    </row>
    <row r="41" spans="1:12" ht="15.75" x14ac:dyDescent="0.25">
      <c r="A41" s="45"/>
      <c r="B41" s="40" t="s">
        <v>82</v>
      </c>
      <c r="C41" s="45"/>
      <c r="D41" s="45"/>
      <c r="E41" s="45"/>
      <c r="F41" s="45"/>
      <c r="G41" s="45"/>
      <c r="H41" s="45"/>
      <c r="I41" s="45"/>
      <c r="J41" s="45"/>
      <c r="K41" s="45"/>
      <c r="L41" s="45"/>
    </row>
    <row r="42" spans="1:12" ht="15.75" x14ac:dyDescent="0.25">
      <c r="A42" s="40"/>
      <c r="B42" s="46" t="s">
        <v>14</v>
      </c>
      <c r="C42" s="40"/>
      <c r="D42" s="47"/>
      <c r="E42" s="47"/>
      <c r="F42" s="46" t="s">
        <v>15</v>
      </c>
      <c r="G42" s="40"/>
      <c r="H42" s="40"/>
      <c r="I42" s="40"/>
      <c r="J42" s="46" t="s">
        <v>16</v>
      </c>
      <c r="K42" s="48"/>
      <c r="L42" s="48"/>
    </row>
    <row r="43" spans="1:12" ht="15.75" x14ac:dyDescent="0.25">
      <c r="A43" s="40"/>
      <c r="B43" s="46"/>
      <c r="C43" s="40"/>
      <c r="D43" s="47"/>
      <c r="E43" s="47"/>
      <c r="F43" s="47"/>
      <c r="G43" s="40"/>
      <c r="H43" s="40"/>
      <c r="I43" s="40"/>
      <c r="J43" s="47"/>
      <c r="K43" s="48"/>
      <c r="L43" s="48"/>
    </row>
    <row r="44" spans="1:12" x14ac:dyDescent="0.25">
      <c r="A44" s="15"/>
      <c r="B44" s="143" t="s">
        <v>37</v>
      </c>
      <c r="C44" s="143"/>
      <c r="D44" s="143"/>
      <c r="E44" s="143"/>
      <c r="F44" s="143"/>
      <c r="G44" s="143"/>
      <c r="H44" s="143"/>
      <c r="I44" s="143"/>
      <c r="J44" s="143"/>
      <c r="K44" s="143"/>
      <c r="L44" s="143"/>
    </row>
    <row r="45" spans="1:12" x14ac:dyDescent="0.25">
      <c r="A45" s="15"/>
      <c r="B45" s="143"/>
      <c r="C45" s="143"/>
      <c r="D45" s="143"/>
      <c r="E45" s="143"/>
      <c r="F45" s="143"/>
      <c r="G45" s="143"/>
      <c r="H45" s="143"/>
      <c r="I45" s="143"/>
      <c r="J45" s="143"/>
      <c r="K45" s="143"/>
      <c r="L45" s="143"/>
    </row>
    <row r="46" spans="1:12" ht="15.75" x14ac:dyDescent="0.25">
      <c r="A46" s="15"/>
      <c r="B46" s="40" t="s">
        <v>17</v>
      </c>
      <c r="C46" s="40"/>
      <c r="D46" s="40"/>
      <c r="E46" s="49"/>
      <c r="F46" s="40"/>
      <c r="G46" s="40" t="s">
        <v>18</v>
      </c>
      <c r="H46" s="40"/>
      <c r="I46" s="40"/>
      <c r="J46" s="40"/>
      <c r="K46" s="40"/>
      <c r="L46" s="40"/>
    </row>
    <row r="47" spans="1:12" ht="15.75" x14ac:dyDescent="0.25">
      <c r="A47" s="15"/>
      <c r="B47" s="40" t="s">
        <v>19</v>
      </c>
      <c r="C47" s="40"/>
      <c r="D47" s="40"/>
      <c r="E47" s="49"/>
      <c r="F47" s="40"/>
      <c r="G47" s="40" t="s">
        <v>20</v>
      </c>
      <c r="H47" s="40"/>
      <c r="I47" s="40"/>
      <c r="J47" s="40"/>
      <c r="K47" s="40"/>
      <c r="L47" s="40"/>
    </row>
    <row r="48" spans="1:12" ht="15.75" x14ac:dyDescent="0.25">
      <c r="A48" s="15"/>
      <c r="B48" s="40" t="s">
        <v>21</v>
      </c>
      <c r="C48" s="40"/>
      <c r="D48" s="40"/>
      <c r="E48" s="40"/>
      <c r="F48" s="40"/>
      <c r="G48" s="40" t="s">
        <v>22</v>
      </c>
      <c r="H48" s="40"/>
      <c r="I48" s="40"/>
      <c r="J48" s="40"/>
      <c r="K48" s="40"/>
      <c r="L48" s="40"/>
    </row>
    <row r="49" spans="1:12" ht="15.75" x14ac:dyDescent="0.25">
      <c r="A49" s="15"/>
      <c r="B49" s="40" t="s">
        <v>23</v>
      </c>
      <c r="C49" s="40"/>
      <c r="D49" s="40"/>
      <c r="E49" s="40"/>
      <c r="F49" s="40"/>
      <c r="G49" s="40" t="s">
        <v>23</v>
      </c>
      <c r="H49" s="40"/>
      <c r="I49" s="40"/>
      <c r="J49" s="40"/>
      <c r="K49" s="40"/>
      <c r="L49" s="40"/>
    </row>
    <row r="50" spans="1:12" ht="15.75" x14ac:dyDescent="0.25">
      <c r="A50" s="15"/>
      <c r="B50" s="144" t="s">
        <v>24</v>
      </c>
      <c r="C50" s="142"/>
      <c r="D50" s="142"/>
      <c r="E50" s="40"/>
      <c r="F50" s="40"/>
      <c r="G50" s="144" t="s">
        <v>25</v>
      </c>
      <c r="H50" s="142"/>
      <c r="I50" s="142"/>
      <c r="J50" s="40"/>
      <c r="K50" s="40"/>
      <c r="L50" s="40"/>
    </row>
    <row r="51" spans="1:12" ht="15.75" x14ac:dyDescent="0.25">
      <c r="A51" s="15"/>
      <c r="B51" s="50" t="s">
        <v>26</v>
      </c>
      <c r="C51" s="51"/>
      <c r="D51" s="39"/>
      <c r="E51" s="40"/>
      <c r="F51" s="40"/>
      <c r="G51" s="50" t="s">
        <v>27</v>
      </c>
      <c r="H51" s="51"/>
      <c r="I51" s="39"/>
      <c r="J51" s="40"/>
      <c r="K51" s="40"/>
      <c r="L51" s="40"/>
    </row>
    <row r="52" spans="1:12" ht="15.75" x14ac:dyDescent="0.25">
      <c r="A52" s="15"/>
      <c r="B52" s="40"/>
      <c r="C52" s="41"/>
      <c r="D52" s="40"/>
      <c r="E52" s="40"/>
      <c r="F52" s="40"/>
      <c r="G52" s="40"/>
      <c r="H52" s="40"/>
      <c r="I52" s="40"/>
      <c r="J52" s="40"/>
      <c r="K52" s="40"/>
      <c r="L52" s="40"/>
    </row>
    <row r="53" spans="1:12" ht="15.75" x14ac:dyDescent="0.25">
      <c r="A53" s="15"/>
      <c r="B53" s="45" t="s">
        <v>28</v>
      </c>
      <c r="C53" s="41"/>
      <c r="D53" s="40"/>
      <c r="E53" s="40"/>
      <c r="F53" s="40"/>
      <c r="G53" s="40"/>
      <c r="H53" s="40"/>
      <c r="I53" s="40"/>
      <c r="J53" s="40"/>
      <c r="K53" s="40"/>
      <c r="L53" s="40"/>
    </row>
    <row r="54" spans="1:12" x14ac:dyDescent="0.25">
      <c r="A54" s="15"/>
      <c r="B54" s="145" t="s">
        <v>84</v>
      </c>
      <c r="C54" s="145"/>
      <c r="D54" s="145"/>
      <c r="E54" s="145"/>
      <c r="F54" s="145"/>
      <c r="G54" s="145"/>
      <c r="H54" s="145"/>
      <c r="I54" s="145"/>
      <c r="J54" s="145"/>
      <c r="K54" s="145"/>
      <c r="L54" s="145"/>
    </row>
    <row r="55" spans="1:12" x14ac:dyDescent="0.25">
      <c r="A55" s="15"/>
      <c r="B55" s="145"/>
      <c r="C55" s="145"/>
      <c r="D55" s="145"/>
      <c r="E55" s="145"/>
      <c r="F55" s="145"/>
      <c r="G55" s="145"/>
      <c r="H55" s="145"/>
      <c r="I55" s="145"/>
      <c r="J55" s="145"/>
      <c r="K55" s="145"/>
      <c r="L55" s="145"/>
    </row>
    <row r="56" spans="1:12" x14ac:dyDescent="0.25">
      <c r="A56" s="15"/>
      <c r="B56" s="146" t="s">
        <v>116</v>
      </c>
      <c r="C56" s="146"/>
      <c r="D56" s="146"/>
      <c r="E56" s="146"/>
      <c r="F56" s="146"/>
      <c r="G56" s="146"/>
      <c r="H56" s="146"/>
      <c r="I56" s="146"/>
      <c r="J56" s="146"/>
      <c r="K56" s="146"/>
      <c r="L56" s="146"/>
    </row>
    <row r="57" spans="1:12" x14ac:dyDescent="0.25">
      <c r="A57" s="15"/>
      <c r="B57" s="146"/>
      <c r="C57" s="146"/>
      <c r="D57" s="146"/>
      <c r="E57" s="146"/>
      <c r="F57" s="146"/>
      <c r="G57" s="146"/>
      <c r="H57" s="146"/>
      <c r="I57" s="146"/>
      <c r="J57" s="146"/>
      <c r="K57" s="146"/>
      <c r="L57" s="146"/>
    </row>
    <row r="58" spans="1:12" x14ac:dyDescent="0.25">
      <c r="A58" s="15"/>
      <c r="B58" s="15"/>
      <c r="C58" s="15"/>
      <c r="D58" s="15"/>
      <c r="E58" s="15"/>
      <c r="F58" s="15"/>
      <c r="G58" s="15"/>
      <c r="H58" s="15"/>
      <c r="I58" s="15"/>
      <c r="J58" s="15"/>
      <c r="K58" s="15"/>
      <c r="L58" s="15"/>
    </row>
  </sheetData>
  <sheetProtection algorithmName="SHA-512" hashValue="KXH8C62V1BOyBlb2UtrSJRuKxHjLHEd6UfUopwXtxl2vKl4w3+PIXkWTmf60vsT2GhVozZEZokCp2//WZz+lHg==" saltValue="pPKu6gE705iiDR9dYzlmUQ==" spinCount="100000" sheet="1" objects="1" scenarios="1"/>
  <mergeCells count="11">
    <mergeCell ref="B44:L45"/>
    <mergeCell ref="B50:D50"/>
    <mergeCell ref="G50:I50"/>
    <mergeCell ref="B54:L55"/>
    <mergeCell ref="B56:L57"/>
    <mergeCell ref="B33:L37"/>
    <mergeCell ref="B26:L28"/>
    <mergeCell ref="B5:I6"/>
    <mergeCell ref="C8:D8"/>
    <mergeCell ref="E8:F8"/>
    <mergeCell ref="B30:E30"/>
  </mergeCells>
  <hyperlinks>
    <hyperlink ref="B50" r:id="rId1"/>
    <hyperlink ref="B42:E42" r:id="rId2" display="SLA Vaccination Programs"/>
    <hyperlink ref="F42" r:id="rId3"/>
    <hyperlink ref="J42" r:id="rId4"/>
    <hyperlink ref="G50" r:id="rId5"/>
  </hyperlinks>
  <pageMargins left="0.7" right="0.7" top="0.75" bottom="0.75" header="0.3" footer="0.3"/>
  <pageSetup scale="71" orientation="portrait" r:id="rId6"/>
  <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236"/>
  <sheetViews>
    <sheetView zoomScaleNormal="100" workbookViewId="0">
      <selection activeCell="A47" sqref="A47"/>
    </sheetView>
  </sheetViews>
  <sheetFormatPr defaultRowHeight="15" x14ac:dyDescent="0.25"/>
  <cols>
    <col min="1" max="1" width="4.7109375" customWidth="1"/>
    <col min="2" max="2" width="18.85546875" customWidth="1"/>
    <col min="3" max="3" width="15.85546875" customWidth="1"/>
    <col min="4" max="4" width="15.5703125" customWidth="1"/>
    <col min="5" max="5" width="21.7109375" customWidth="1"/>
    <col min="6" max="6" width="14" customWidth="1"/>
    <col min="7" max="7" width="17" customWidth="1"/>
    <col min="8" max="8" width="56.7109375" customWidth="1"/>
    <col min="9" max="9" width="17.7109375" customWidth="1"/>
    <col min="10" max="11" width="3.42578125" style="74" customWidth="1"/>
    <col min="12" max="13" width="10.42578125" style="74" bestFit="1" customWidth="1"/>
    <col min="14" max="17" width="9.140625" style="74"/>
    <col min="19" max="19" width="34.42578125" bestFit="1" customWidth="1"/>
    <col min="20" max="20" width="56.85546875" bestFit="1" customWidth="1"/>
  </cols>
  <sheetData>
    <row r="1" spans="1:19" x14ac:dyDescent="0.25">
      <c r="A1" s="1"/>
      <c r="B1" s="1"/>
      <c r="C1" s="1"/>
      <c r="D1" s="1"/>
      <c r="E1" s="1"/>
      <c r="F1" s="1"/>
      <c r="G1" s="1"/>
      <c r="H1" s="1"/>
      <c r="I1" s="1"/>
      <c r="J1" s="1"/>
      <c r="K1" s="1"/>
      <c r="L1" s="1"/>
      <c r="M1" s="1"/>
      <c r="N1" s="1"/>
      <c r="O1" s="1"/>
      <c r="P1" s="1"/>
      <c r="Q1" s="1"/>
      <c r="R1" s="1"/>
      <c r="S1" s="1"/>
    </row>
    <row r="2" spans="1:19" ht="16.5" thickBot="1" x14ac:dyDescent="0.3">
      <c r="A2" s="1"/>
      <c r="B2" s="2" t="s">
        <v>83</v>
      </c>
      <c r="C2" s="3"/>
      <c r="D2" s="3"/>
      <c r="E2" s="3"/>
      <c r="F2" s="3"/>
      <c r="G2" s="3"/>
      <c r="H2" s="3"/>
      <c r="I2" s="3"/>
      <c r="J2" s="80"/>
      <c r="K2" s="80"/>
    </row>
    <row r="3" spans="1:19" x14ac:dyDescent="0.25">
      <c r="A3" s="1"/>
      <c r="B3" s="1"/>
      <c r="C3" s="1"/>
      <c r="D3" s="1"/>
      <c r="E3" s="1"/>
      <c r="F3" s="1"/>
      <c r="G3" s="1"/>
      <c r="H3" s="1"/>
      <c r="I3" s="1"/>
      <c r="J3" s="1"/>
      <c r="K3" s="1"/>
    </row>
    <row r="4" spans="1:19" x14ac:dyDescent="0.25">
      <c r="A4" s="1"/>
      <c r="B4" s="149" t="s">
        <v>53</v>
      </c>
      <c r="C4" s="149"/>
      <c r="D4" s="149"/>
      <c r="E4" s="149"/>
      <c r="F4" s="149"/>
      <c r="G4" s="149"/>
      <c r="H4" s="1"/>
      <c r="I4" s="1"/>
      <c r="J4" s="1"/>
      <c r="K4" s="1"/>
    </row>
    <row r="5" spans="1:19" s="74" customFormat="1" x14ac:dyDescent="0.25">
      <c r="A5" s="1"/>
      <c r="B5" s="69" t="s">
        <v>63</v>
      </c>
      <c r="C5" s="68"/>
      <c r="D5" s="68"/>
      <c r="E5" s="68"/>
      <c r="F5" s="68"/>
      <c r="G5" s="68"/>
      <c r="H5" s="81">
        <v>45203</v>
      </c>
      <c r="I5" s="106"/>
      <c r="J5" s="1"/>
      <c r="K5" s="1"/>
    </row>
    <row r="6" spans="1:19" s="74" customFormat="1" x14ac:dyDescent="0.25">
      <c r="A6" s="1"/>
      <c r="B6" s="69" t="s">
        <v>62</v>
      </c>
      <c r="C6" s="68"/>
      <c r="D6" s="68"/>
      <c r="E6" s="68"/>
      <c r="F6" s="68"/>
      <c r="G6" s="68"/>
      <c r="H6" s="10">
        <v>550</v>
      </c>
      <c r="I6" s="106" t="str">
        <f>IF(300&lt;H6,"","Please select weight between 300 and 900 lbs")</f>
        <v/>
      </c>
      <c r="J6" s="1"/>
      <c r="K6" s="1"/>
    </row>
    <row r="7" spans="1:19" s="74" customFormat="1" x14ac:dyDescent="0.25">
      <c r="A7" s="1"/>
      <c r="B7" s="69"/>
      <c r="C7" s="68"/>
      <c r="D7" s="68"/>
      <c r="E7" s="68"/>
      <c r="F7" s="68"/>
      <c r="G7" s="68"/>
      <c r="H7" s="115" t="str">
        <f>IF(G6&lt;900,"","Please select weight between 300 and 900 lbs")</f>
        <v/>
      </c>
      <c r="I7" s="106" t="str">
        <f>IF(H6&lt;900,"","Please select weight between 300 and 900 lbs")</f>
        <v/>
      </c>
      <c r="J7" s="1"/>
      <c r="K7" s="1"/>
    </row>
    <row r="8" spans="1:19" s="74" customFormat="1" x14ac:dyDescent="0.25">
      <c r="A8" s="1"/>
      <c r="B8" s="149" t="s">
        <v>80</v>
      </c>
      <c r="C8" s="149"/>
      <c r="D8" s="149"/>
      <c r="E8" s="149"/>
      <c r="F8" s="149"/>
      <c r="G8" s="149"/>
      <c r="H8" s="11"/>
      <c r="I8" s="106"/>
      <c r="J8" s="1"/>
      <c r="K8" s="1"/>
    </row>
    <row r="9" spans="1:19" s="74" customFormat="1" x14ac:dyDescent="0.25">
      <c r="A9" s="1"/>
      <c r="B9" s="147" t="s">
        <v>117</v>
      </c>
      <c r="C9" s="147"/>
      <c r="D9" s="147"/>
      <c r="E9" s="147"/>
      <c r="F9" s="147"/>
      <c r="G9" s="147"/>
      <c r="H9" s="9">
        <v>0</v>
      </c>
      <c r="I9" s="106" t="str">
        <f>IF(SUM(H9:H14)=1,"","Please select one region (=1) and use =0 for all other regions")</f>
        <v/>
      </c>
      <c r="J9" s="1"/>
      <c r="K9" s="1"/>
    </row>
    <row r="10" spans="1:19" s="74" customFormat="1" x14ac:dyDescent="0.25">
      <c r="A10" s="1"/>
      <c r="B10" s="110" t="s">
        <v>118</v>
      </c>
      <c r="C10" s="110"/>
      <c r="D10" s="110"/>
      <c r="E10" s="110"/>
      <c r="F10" s="110"/>
      <c r="G10" s="110"/>
      <c r="H10" s="9">
        <v>0</v>
      </c>
      <c r="I10" s="106"/>
      <c r="J10" s="1"/>
      <c r="K10" s="1"/>
    </row>
    <row r="11" spans="1:19" s="74" customFormat="1" x14ac:dyDescent="0.25">
      <c r="A11" s="1"/>
      <c r="B11" s="110" t="s">
        <v>119</v>
      </c>
      <c r="C11" s="110"/>
      <c r="D11" s="110"/>
      <c r="E11" s="110"/>
      <c r="F11" s="110"/>
      <c r="G11" s="110"/>
      <c r="H11" s="9">
        <v>0</v>
      </c>
      <c r="I11" s="106"/>
      <c r="J11" s="1"/>
      <c r="K11" s="1"/>
    </row>
    <row r="12" spans="1:19" s="74" customFormat="1" x14ac:dyDescent="0.25">
      <c r="A12" s="1"/>
      <c r="B12" s="110" t="s">
        <v>120</v>
      </c>
      <c r="C12" s="110"/>
      <c r="D12" s="110"/>
      <c r="E12" s="110"/>
      <c r="F12" s="110"/>
      <c r="G12" s="110"/>
      <c r="H12" s="9">
        <v>0</v>
      </c>
      <c r="I12" s="106"/>
      <c r="J12" s="1"/>
      <c r="K12" s="1"/>
    </row>
    <row r="13" spans="1:19" s="74" customFormat="1" x14ac:dyDescent="0.25">
      <c r="A13" s="1"/>
      <c r="B13" s="110" t="s">
        <v>121</v>
      </c>
      <c r="C13" s="110"/>
      <c r="D13" s="110"/>
      <c r="E13" s="110"/>
      <c r="F13" s="110"/>
      <c r="G13" s="110"/>
      <c r="H13" s="111">
        <v>0</v>
      </c>
      <c r="I13" s="106"/>
      <c r="J13" s="1"/>
      <c r="K13" s="1"/>
    </row>
    <row r="14" spans="1:19" s="74" customFormat="1" x14ac:dyDescent="0.25">
      <c r="A14" s="1"/>
      <c r="B14" s="110" t="s">
        <v>51</v>
      </c>
      <c r="C14" s="110"/>
      <c r="D14" s="110"/>
      <c r="E14" s="110"/>
      <c r="F14" s="110"/>
      <c r="G14" s="110"/>
      <c r="H14" s="111">
        <v>1</v>
      </c>
      <c r="I14" s="106"/>
      <c r="J14" s="1"/>
      <c r="K14" s="1"/>
    </row>
    <row r="15" spans="1:19" s="74" customFormat="1" x14ac:dyDescent="0.25">
      <c r="A15" s="1"/>
      <c r="C15" s="68"/>
      <c r="D15" s="68"/>
      <c r="E15" s="68"/>
      <c r="F15" s="68"/>
      <c r="G15" s="68"/>
      <c r="H15" s="1"/>
      <c r="I15" s="106"/>
      <c r="J15" s="1"/>
      <c r="K15" s="1"/>
    </row>
    <row r="16" spans="1:19" s="74" customFormat="1" x14ac:dyDescent="0.25">
      <c r="A16" s="1"/>
      <c r="B16" s="149" t="s">
        <v>86</v>
      </c>
      <c r="C16" s="149"/>
      <c r="D16" s="149"/>
      <c r="E16" s="149"/>
      <c r="F16" s="149"/>
      <c r="G16" s="149"/>
      <c r="H16" s="11"/>
      <c r="I16" s="106"/>
      <c r="J16" s="1"/>
      <c r="K16" s="1"/>
    </row>
    <row r="17" spans="1:11" s="74" customFormat="1" x14ac:dyDescent="0.25">
      <c r="A17" s="1"/>
      <c r="B17" s="147" t="s">
        <v>109</v>
      </c>
      <c r="C17" s="147"/>
      <c r="D17" s="147"/>
      <c r="E17" s="147"/>
      <c r="F17" s="147"/>
      <c r="G17" s="147"/>
      <c r="H17" s="89">
        <v>264</v>
      </c>
      <c r="I17" s="106" t="str">
        <f>IF(80&lt;H17,"","Please use prices between $80 and $400/cwt")</f>
        <v/>
      </c>
      <c r="J17" s="1"/>
      <c r="K17" s="1"/>
    </row>
    <row r="18" spans="1:11" s="74" customFormat="1" x14ac:dyDescent="0.25">
      <c r="A18" s="1"/>
      <c r="B18" s="68"/>
      <c r="C18" s="68"/>
      <c r="D18" s="68"/>
      <c r="E18" s="68"/>
      <c r="F18" s="68"/>
      <c r="G18" s="68"/>
      <c r="H18" s="1"/>
      <c r="I18" s="106" t="str">
        <f>IF(400&gt;H17,"","Please use prices between $80 and $400/cwt")</f>
        <v/>
      </c>
      <c r="J18" s="1"/>
      <c r="K18" s="1"/>
    </row>
    <row r="19" spans="1:11" s="74" customFormat="1" x14ac:dyDescent="0.25">
      <c r="A19" s="1"/>
      <c r="B19" s="149" t="s">
        <v>111</v>
      </c>
      <c r="C19" s="149"/>
      <c r="D19" s="149"/>
      <c r="E19" s="149"/>
      <c r="F19" s="149"/>
      <c r="G19" s="149"/>
      <c r="H19" s="1"/>
      <c r="I19" s="106"/>
      <c r="J19" s="1"/>
      <c r="K19" s="1"/>
    </row>
    <row r="20" spans="1:11" s="74" customFormat="1" x14ac:dyDescent="0.25">
      <c r="A20" s="1"/>
      <c r="B20" s="147" t="s">
        <v>55</v>
      </c>
      <c r="C20" s="147"/>
      <c r="D20" s="147"/>
      <c r="E20" s="147"/>
      <c r="F20" s="147"/>
      <c r="G20" s="147"/>
      <c r="H20" s="10" t="s">
        <v>43</v>
      </c>
      <c r="I20" s="106"/>
      <c r="J20" s="1"/>
      <c r="K20" s="1"/>
    </row>
    <row r="21" spans="1:11" s="74" customFormat="1" x14ac:dyDescent="0.25">
      <c r="A21" s="1"/>
      <c r="B21" s="147" t="s">
        <v>54</v>
      </c>
      <c r="C21" s="147"/>
      <c r="D21" s="147"/>
      <c r="E21" s="147"/>
      <c r="F21" s="147"/>
      <c r="G21" s="147"/>
      <c r="H21" s="10" t="s">
        <v>58</v>
      </c>
      <c r="I21" s="106"/>
      <c r="J21" s="1"/>
      <c r="K21" s="1"/>
    </row>
    <row r="22" spans="1:11" s="74" customFormat="1" x14ac:dyDescent="0.25">
      <c r="A22" s="1"/>
      <c r="B22" s="147" t="s">
        <v>56</v>
      </c>
      <c r="C22" s="147"/>
      <c r="D22" s="147"/>
      <c r="E22" s="147"/>
      <c r="F22" s="147"/>
      <c r="G22" s="147"/>
      <c r="H22" s="10" t="s">
        <v>60</v>
      </c>
      <c r="I22" s="106"/>
      <c r="J22" s="1"/>
      <c r="K22" s="1"/>
    </row>
    <row r="23" spans="1:11" s="74" customFormat="1" x14ac:dyDescent="0.25">
      <c r="A23" s="1"/>
      <c r="B23" s="147" t="s">
        <v>57</v>
      </c>
      <c r="C23" s="147"/>
      <c r="D23" s="147"/>
      <c r="E23" s="147"/>
      <c r="F23" s="147"/>
      <c r="G23" s="147"/>
      <c r="H23" s="10" t="s">
        <v>122</v>
      </c>
      <c r="I23" s="106"/>
      <c r="J23" s="1"/>
      <c r="K23" s="1"/>
    </row>
    <row r="24" spans="1:11" s="74" customFormat="1" x14ac:dyDescent="0.25">
      <c r="A24" s="1"/>
      <c r="B24" s="147" t="s">
        <v>49</v>
      </c>
      <c r="C24" s="147"/>
      <c r="D24" s="147"/>
      <c r="E24" s="147"/>
      <c r="F24" s="147"/>
      <c r="G24" s="147"/>
      <c r="H24" s="10" t="s">
        <v>60</v>
      </c>
      <c r="I24" s="106"/>
      <c r="J24" s="1"/>
      <c r="K24" s="1"/>
    </row>
    <row r="25" spans="1:11" s="74" customFormat="1" x14ac:dyDescent="0.25">
      <c r="A25" s="1"/>
      <c r="B25" s="147" t="s">
        <v>47</v>
      </c>
      <c r="C25" s="147"/>
      <c r="D25" s="147"/>
      <c r="E25" s="147"/>
      <c r="F25" s="147"/>
      <c r="G25" s="147"/>
      <c r="H25" s="10" t="s">
        <v>60</v>
      </c>
      <c r="I25" s="106"/>
      <c r="J25" s="1"/>
      <c r="K25" s="1"/>
    </row>
    <row r="26" spans="1:11" s="74" customFormat="1" x14ac:dyDescent="0.25">
      <c r="A26" s="1"/>
      <c r="B26" s="147" t="s">
        <v>50</v>
      </c>
      <c r="C26" s="147"/>
      <c r="D26" s="147"/>
      <c r="E26" s="147"/>
      <c r="F26" s="147"/>
      <c r="G26" s="147"/>
      <c r="H26" s="10" t="s">
        <v>60</v>
      </c>
      <c r="I26" s="106"/>
      <c r="J26" s="1"/>
      <c r="K26" s="1"/>
    </row>
    <row r="27" spans="1:11" s="74" customFormat="1" x14ac:dyDescent="0.25">
      <c r="A27" s="1"/>
      <c r="B27" s="147" t="s">
        <v>48</v>
      </c>
      <c r="C27" s="147"/>
      <c r="D27" s="147"/>
      <c r="E27" s="147"/>
      <c r="F27" s="147"/>
      <c r="G27" s="147"/>
      <c r="H27" s="10" t="s">
        <v>60</v>
      </c>
      <c r="I27" s="106"/>
      <c r="J27" s="1"/>
      <c r="K27" s="1"/>
    </row>
    <row r="28" spans="1:11" s="74" customFormat="1" x14ac:dyDescent="0.25">
      <c r="A28" s="1"/>
      <c r="B28" s="69"/>
      <c r="C28" s="69"/>
      <c r="D28" s="69"/>
      <c r="E28" s="69"/>
      <c r="F28" s="69"/>
      <c r="G28" s="69"/>
      <c r="H28" s="110"/>
      <c r="I28" s="110"/>
      <c r="J28" s="110"/>
      <c r="K28" s="1"/>
    </row>
    <row r="29" spans="1:11" s="74" customFormat="1" x14ac:dyDescent="0.25">
      <c r="A29" s="1"/>
      <c r="B29" s="149" t="s">
        <v>110</v>
      </c>
      <c r="C29" s="149"/>
      <c r="D29" s="149"/>
      <c r="E29" s="149"/>
      <c r="F29" s="149"/>
      <c r="G29" s="149"/>
      <c r="H29" s="110"/>
      <c r="I29" s="110"/>
      <c r="J29" s="110"/>
      <c r="K29" s="1"/>
    </row>
    <row r="30" spans="1:11" s="74" customFormat="1" x14ac:dyDescent="0.25">
      <c r="A30" s="1"/>
      <c r="B30" s="147" t="s">
        <v>64</v>
      </c>
      <c r="C30" s="147"/>
      <c r="D30" s="147"/>
      <c r="E30" s="147"/>
      <c r="F30" s="147"/>
      <c r="G30" s="147"/>
      <c r="H30" s="87">
        <v>2.2000000000000002</v>
      </c>
      <c r="I30" s="106"/>
      <c r="J30" s="1"/>
      <c r="K30" s="1"/>
    </row>
    <row r="31" spans="1:11" s="74" customFormat="1" x14ac:dyDescent="0.25">
      <c r="A31" s="1"/>
      <c r="B31" s="147" t="s">
        <v>65</v>
      </c>
      <c r="C31" s="147"/>
      <c r="D31" s="147"/>
      <c r="E31" s="147"/>
      <c r="F31" s="147"/>
      <c r="G31" s="147"/>
      <c r="H31" s="88">
        <v>5.0000000000000001E-3</v>
      </c>
      <c r="I31" s="106"/>
      <c r="J31" s="1"/>
      <c r="K31" s="1"/>
    </row>
    <row r="32" spans="1:11" s="74" customFormat="1" x14ac:dyDescent="0.25">
      <c r="A32" s="1"/>
      <c r="B32" s="147" t="s">
        <v>66</v>
      </c>
      <c r="C32" s="147"/>
      <c r="D32" s="147"/>
      <c r="E32" s="147"/>
      <c r="F32" s="147"/>
      <c r="G32" s="147"/>
      <c r="H32" s="89">
        <v>2</v>
      </c>
      <c r="I32" s="106"/>
      <c r="J32" s="1"/>
      <c r="K32" s="1"/>
    </row>
    <row r="33" spans="1:11" s="74" customFormat="1" x14ac:dyDescent="0.25">
      <c r="A33" s="1"/>
      <c r="B33" s="147" t="s">
        <v>67</v>
      </c>
      <c r="C33" s="147"/>
      <c r="D33" s="147"/>
      <c r="E33" s="147"/>
      <c r="F33" s="147"/>
      <c r="G33" s="147"/>
      <c r="H33" s="89">
        <v>0.44999999999999996</v>
      </c>
      <c r="I33" s="106"/>
      <c r="J33" s="1"/>
      <c r="K33" s="1"/>
    </row>
    <row r="34" spans="1:11" s="74" customFormat="1" x14ac:dyDescent="0.25">
      <c r="A34" s="1"/>
      <c r="B34" s="147" t="s">
        <v>69</v>
      </c>
      <c r="C34" s="147"/>
      <c r="D34" s="147"/>
      <c r="E34" s="147"/>
      <c r="F34" s="147"/>
      <c r="G34" s="147"/>
      <c r="H34" s="89">
        <v>3</v>
      </c>
      <c r="I34" s="106"/>
      <c r="J34" s="1"/>
      <c r="K34" s="1"/>
    </row>
    <row r="35" spans="1:11" s="74" customFormat="1" x14ac:dyDescent="0.25">
      <c r="A35" s="1"/>
      <c r="B35" s="147" t="s">
        <v>70</v>
      </c>
      <c r="C35" s="147"/>
      <c r="D35" s="147"/>
      <c r="E35" s="147"/>
      <c r="F35" s="147"/>
      <c r="G35" s="147"/>
      <c r="H35" s="89">
        <v>5</v>
      </c>
      <c r="I35" s="106"/>
      <c r="J35" s="1"/>
      <c r="K35" s="1"/>
    </row>
    <row r="36" spans="1:11" s="74" customFormat="1" x14ac:dyDescent="0.25">
      <c r="A36" s="1"/>
      <c r="B36" s="147" t="s">
        <v>71</v>
      </c>
      <c r="C36" s="147"/>
      <c r="D36" s="147"/>
      <c r="E36" s="147"/>
      <c r="F36" s="147"/>
      <c r="G36" s="147"/>
      <c r="H36" s="89">
        <v>7</v>
      </c>
      <c r="I36" s="106"/>
      <c r="J36" s="1"/>
      <c r="K36" s="1"/>
    </row>
    <row r="37" spans="1:11" s="74" customFormat="1" x14ac:dyDescent="0.25">
      <c r="A37" s="1"/>
      <c r="B37" s="147" t="s">
        <v>72</v>
      </c>
      <c r="C37" s="147"/>
      <c r="D37" s="147"/>
      <c r="E37" s="147"/>
      <c r="F37" s="147"/>
      <c r="G37" s="147"/>
      <c r="H37" s="89">
        <v>7</v>
      </c>
      <c r="I37" s="106"/>
      <c r="J37" s="1"/>
      <c r="K37" s="1"/>
    </row>
    <row r="38" spans="1:11" s="74" customFormat="1" x14ac:dyDescent="0.25">
      <c r="A38" s="1"/>
      <c r="B38" s="147" t="s">
        <v>73</v>
      </c>
      <c r="C38" s="147"/>
      <c r="D38" s="147"/>
      <c r="E38" s="147"/>
      <c r="F38" s="147"/>
      <c r="G38" s="147"/>
      <c r="H38" s="89">
        <v>7</v>
      </c>
      <c r="I38" s="106"/>
      <c r="J38" s="1"/>
      <c r="K38" s="1"/>
    </row>
    <row r="39" spans="1:11" s="74" customFormat="1" x14ac:dyDescent="0.25">
      <c r="A39" s="1"/>
      <c r="B39" s="69"/>
      <c r="C39" s="69"/>
      <c r="D39" s="69"/>
      <c r="E39" s="69"/>
      <c r="F39" s="69"/>
      <c r="G39" s="69"/>
      <c r="H39" s="110"/>
      <c r="I39" s="110"/>
      <c r="J39" s="110"/>
      <c r="K39" s="1"/>
    </row>
    <row r="40" spans="1:11" s="74" customFormat="1" x14ac:dyDescent="0.25">
      <c r="A40" s="1"/>
      <c r="B40" s="149" t="s">
        <v>112</v>
      </c>
      <c r="C40" s="149"/>
      <c r="D40" s="149"/>
      <c r="E40" s="149"/>
      <c r="F40" s="149"/>
      <c r="G40" s="149"/>
      <c r="H40" s="110"/>
      <c r="I40" s="110"/>
      <c r="J40" s="110"/>
      <c r="K40" s="110"/>
    </row>
    <row r="41" spans="1:11" s="74" customFormat="1" x14ac:dyDescent="0.25">
      <c r="A41" s="1"/>
      <c r="C41" s="69"/>
      <c r="D41" s="69"/>
      <c r="E41" s="69" t="s">
        <v>114</v>
      </c>
      <c r="F41" s="69" t="s">
        <v>52</v>
      </c>
      <c r="G41" s="69" t="s">
        <v>79</v>
      </c>
      <c r="H41" s="110"/>
      <c r="I41" s="110"/>
      <c r="J41" s="110"/>
      <c r="K41" s="110"/>
    </row>
    <row r="42" spans="1:11" s="74" customFormat="1" x14ac:dyDescent="0.25">
      <c r="A42" s="1"/>
      <c r="B42" s="147" t="s">
        <v>74</v>
      </c>
      <c r="C42" s="148"/>
      <c r="D42" s="148"/>
      <c r="E42" s="10">
        <v>24</v>
      </c>
      <c r="F42" s="90">
        <f>$H$5+E42</f>
        <v>45227</v>
      </c>
      <c r="G42" s="91">
        <f>$H$6+E42*$H$30</f>
        <v>602.79999999999995</v>
      </c>
      <c r="H42" s="89">
        <v>253.2</v>
      </c>
      <c r="I42" s="106" t="str">
        <f>IF(80&lt;MIN(H42:H46),"","Please use prices between $80 and $400/cwt")</f>
        <v/>
      </c>
      <c r="J42" s="1"/>
      <c r="K42" s="1"/>
    </row>
    <row r="43" spans="1:11" s="74" customFormat="1" x14ac:dyDescent="0.25">
      <c r="A43" s="1"/>
      <c r="B43" s="147" t="s">
        <v>75</v>
      </c>
      <c r="C43" s="148"/>
      <c r="D43" s="148"/>
      <c r="E43" s="10">
        <v>34</v>
      </c>
      <c r="F43" s="90">
        <f t="shared" ref="F43:F46" si="0">$H$5+E43</f>
        <v>45237</v>
      </c>
      <c r="G43" s="91">
        <f>$H$6+E43*$H$30</f>
        <v>624.79999999999995</v>
      </c>
      <c r="H43" s="89">
        <v>249.07</v>
      </c>
      <c r="I43" s="106" t="str">
        <f>IF(400&gt;MAX(H42:H46),"","Please use prices between $80 and $400/cwt")</f>
        <v/>
      </c>
      <c r="J43" s="1"/>
      <c r="K43" s="1"/>
    </row>
    <row r="44" spans="1:11" s="74" customFormat="1" x14ac:dyDescent="0.25">
      <c r="A44" s="1"/>
      <c r="B44" s="147" t="s">
        <v>76</v>
      </c>
      <c r="C44" s="148"/>
      <c r="D44" s="148"/>
      <c r="E44" s="10">
        <v>45</v>
      </c>
      <c r="F44" s="90">
        <f t="shared" si="0"/>
        <v>45248</v>
      </c>
      <c r="G44" s="91">
        <f t="shared" ref="G44:G46" si="1">$H$6+E44*$H$30</f>
        <v>649</v>
      </c>
      <c r="H44" s="89">
        <v>244.96</v>
      </c>
      <c r="I44" s="106"/>
      <c r="J44" s="1"/>
      <c r="K44" s="1"/>
    </row>
    <row r="45" spans="1:11" s="74" customFormat="1" x14ac:dyDescent="0.25">
      <c r="A45" s="1"/>
      <c r="B45" s="147" t="s">
        <v>77</v>
      </c>
      <c r="C45" s="148"/>
      <c r="D45" s="148"/>
      <c r="E45" s="10">
        <v>60</v>
      </c>
      <c r="F45" s="90">
        <f t="shared" si="0"/>
        <v>45263</v>
      </c>
      <c r="G45" s="91">
        <f t="shared" si="1"/>
        <v>682</v>
      </c>
      <c r="H45" s="89">
        <v>239.59</v>
      </c>
      <c r="I45" s="106"/>
      <c r="J45" s="1"/>
      <c r="K45" s="1"/>
    </row>
    <row r="46" spans="1:11" s="74" customFormat="1" x14ac:dyDescent="0.25">
      <c r="A46" s="1"/>
      <c r="B46" s="147" t="s">
        <v>78</v>
      </c>
      <c r="C46" s="148"/>
      <c r="D46" s="148"/>
      <c r="E46" s="10">
        <v>60</v>
      </c>
      <c r="F46" s="90">
        <f t="shared" si="0"/>
        <v>45263</v>
      </c>
      <c r="G46" s="91">
        <f t="shared" si="1"/>
        <v>682</v>
      </c>
      <c r="H46" s="89">
        <v>239.59</v>
      </c>
      <c r="I46" s="106"/>
      <c r="J46" s="1"/>
      <c r="K46" s="1"/>
    </row>
    <row r="47" spans="1:11" s="74" customFormat="1" x14ac:dyDescent="0.25">
      <c r="A47" s="1"/>
      <c r="B47" s="68"/>
      <c r="C47" s="68"/>
      <c r="D47" s="68"/>
      <c r="E47" s="68"/>
      <c r="F47" s="68"/>
      <c r="G47" s="68"/>
      <c r="H47" s="1"/>
      <c r="I47" s="1"/>
      <c r="J47" s="1"/>
      <c r="K47" s="1"/>
    </row>
    <row r="48" spans="1:11" x14ac:dyDescent="0.25">
      <c r="A48" s="1"/>
      <c r="B48" s="149" t="s">
        <v>113</v>
      </c>
      <c r="C48" s="149"/>
      <c r="D48" s="149"/>
      <c r="E48" s="149"/>
      <c r="F48" s="149"/>
      <c r="G48" s="149"/>
      <c r="H48" s="11"/>
      <c r="I48" s="1"/>
      <c r="J48" s="1"/>
      <c r="K48" s="1"/>
    </row>
    <row r="49" spans="1:28" ht="15.75" thickBot="1" x14ac:dyDescent="0.3">
      <c r="A49" s="1"/>
      <c r="B49" s="3"/>
      <c r="C49" s="3"/>
      <c r="D49" s="3"/>
      <c r="E49" s="3"/>
      <c r="F49" s="3"/>
      <c r="G49" s="3"/>
      <c r="H49" s="3"/>
      <c r="I49" s="3"/>
      <c r="J49" s="80"/>
      <c r="K49" s="80"/>
      <c r="L49" s="55"/>
      <c r="M49" s="55"/>
    </row>
    <row r="50" spans="1:28" x14ac:dyDescent="0.25">
      <c r="A50" s="1"/>
      <c r="B50" s="5" t="s">
        <v>5</v>
      </c>
      <c r="C50" s="1"/>
      <c r="D50" s="1"/>
      <c r="E50" s="1"/>
      <c r="F50" s="1"/>
      <c r="G50" s="1"/>
      <c r="H50" s="1"/>
      <c r="I50" s="1"/>
      <c r="J50" s="1"/>
      <c r="K50" s="1"/>
    </row>
    <row r="51" spans="1:28" x14ac:dyDescent="0.25">
      <c r="A51" s="1"/>
      <c r="B51" s="53" t="s">
        <v>6</v>
      </c>
      <c r="C51" s="6" t="s">
        <v>7</v>
      </c>
      <c r="E51" s="1"/>
      <c r="F51" s="1"/>
      <c r="G51" s="1"/>
      <c r="H51" s="1"/>
      <c r="I51" s="1"/>
      <c r="J51" s="1"/>
      <c r="K51" s="1"/>
    </row>
    <row r="52" spans="1:28" ht="15.75" thickBot="1" x14ac:dyDescent="0.3">
      <c r="A52" s="1"/>
      <c r="B52" s="1"/>
      <c r="C52" s="1"/>
      <c r="D52" s="1"/>
      <c r="E52" s="1"/>
      <c r="F52" s="1"/>
      <c r="G52" s="7"/>
      <c r="H52" s="1"/>
      <c r="I52" s="1"/>
      <c r="J52" s="1"/>
      <c r="K52" s="1"/>
    </row>
    <row r="53" spans="1:28" x14ac:dyDescent="0.25">
      <c r="A53" s="1"/>
      <c r="B53" s="8"/>
      <c r="C53" s="8"/>
      <c r="D53" s="8"/>
      <c r="E53" s="8"/>
      <c r="F53" s="8"/>
      <c r="G53" s="8"/>
      <c r="H53" s="8"/>
      <c r="I53" s="8"/>
      <c r="J53" s="80"/>
      <c r="K53" s="80"/>
    </row>
    <row r="59" spans="1:28" x14ac:dyDescent="0.25">
      <c r="X59" s="74"/>
      <c r="Y59" s="74"/>
      <c r="Z59" s="74"/>
      <c r="AA59" s="74"/>
      <c r="AB59" s="74"/>
    </row>
    <row r="60" spans="1:28" x14ac:dyDescent="0.25">
      <c r="X60" s="74"/>
      <c r="Y60" s="74"/>
      <c r="Z60" s="74"/>
      <c r="AA60" s="74"/>
      <c r="AB60" s="74"/>
    </row>
    <row r="61" spans="1:28" x14ac:dyDescent="0.25">
      <c r="X61" s="74"/>
      <c r="Y61" s="74"/>
      <c r="Z61" s="74"/>
      <c r="AA61" s="74"/>
      <c r="AB61" s="74"/>
    </row>
    <row r="62" spans="1:28" x14ac:dyDescent="0.25">
      <c r="X62" s="74"/>
      <c r="Y62" s="74"/>
      <c r="Z62" s="74"/>
      <c r="AA62" s="74"/>
      <c r="AB62" s="74"/>
    </row>
    <row r="63" spans="1:28" x14ac:dyDescent="0.25">
      <c r="X63" s="74"/>
      <c r="Y63" s="74"/>
      <c r="Z63" s="74"/>
      <c r="AA63" s="74"/>
      <c r="AB63" s="74"/>
    </row>
    <row r="64" spans="1:28" x14ac:dyDescent="0.25">
      <c r="X64" s="74"/>
      <c r="Y64" s="74"/>
      <c r="Z64" s="74"/>
      <c r="AA64" s="74"/>
      <c r="AB64" s="74"/>
    </row>
    <row r="65" spans="24:28" x14ac:dyDescent="0.25">
      <c r="X65" s="74"/>
      <c r="Y65" s="74"/>
      <c r="Z65" s="74"/>
      <c r="AA65" s="74"/>
      <c r="AB65" s="74"/>
    </row>
    <row r="66" spans="24:28" x14ac:dyDescent="0.25">
      <c r="X66" s="74"/>
      <c r="Y66" s="74"/>
      <c r="Z66" s="74"/>
      <c r="AA66" s="74"/>
      <c r="AB66" s="74"/>
    </row>
    <row r="67" spans="24:28" x14ac:dyDescent="0.25">
      <c r="X67" s="74"/>
      <c r="Y67" s="74"/>
      <c r="Z67" s="74"/>
      <c r="AA67" s="74"/>
      <c r="AB67" s="74"/>
    </row>
    <row r="68" spans="24:28" x14ac:dyDescent="0.25">
      <c r="X68" s="74"/>
      <c r="Y68" s="74"/>
      <c r="Z68" s="74"/>
      <c r="AA68" s="74"/>
      <c r="AB68" s="74"/>
    </row>
    <row r="69" spans="24:28" x14ac:dyDescent="0.25">
      <c r="X69" s="74"/>
      <c r="Y69" s="74"/>
      <c r="Z69" s="74"/>
      <c r="AA69" s="74"/>
      <c r="AB69" s="74"/>
    </row>
    <row r="70" spans="24:28" x14ac:dyDescent="0.25">
      <c r="X70" s="74"/>
      <c r="Y70" s="74"/>
      <c r="Z70" s="74"/>
      <c r="AA70" s="74"/>
      <c r="AB70" s="74"/>
    </row>
    <row r="71" spans="24:28" x14ac:dyDescent="0.25">
      <c r="X71" s="74"/>
      <c r="Y71" s="74"/>
      <c r="Z71" s="74"/>
      <c r="AA71" s="74"/>
      <c r="AB71" s="74"/>
    </row>
    <row r="86" spans="22:25" x14ac:dyDescent="0.25">
      <c r="V86" s="74"/>
      <c r="W86" s="74"/>
      <c r="X86" s="74"/>
      <c r="Y86" s="74"/>
    </row>
    <row r="87" spans="22:25" x14ac:dyDescent="0.25">
      <c r="V87" s="74"/>
      <c r="W87" s="74"/>
      <c r="X87" s="74"/>
      <c r="Y87" s="74"/>
    </row>
    <row r="88" spans="22:25" x14ac:dyDescent="0.25">
      <c r="V88" s="74"/>
      <c r="W88" s="74"/>
      <c r="X88" s="74"/>
      <c r="Y88" s="74"/>
    </row>
    <row r="89" spans="22:25" x14ac:dyDescent="0.25">
      <c r="V89" s="74"/>
      <c r="W89" s="74"/>
      <c r="X89" s="74"/>
      <c r="Y89" s="74"/>
    </row>
    <row r="90" spans="22:25" x14ac:dyDescent="0.25">
      <c r="V90" s="74"/>
      <c r="W90" s="74"/>
      <c r="X90" s="74"/>
      <c r="Y90" s="74"/>
    </row>
    <row r="91" spans="22:25" x14ac:dyDescent="0.25">
      <c r="V91" s="74"/>
      <c r="W91" s="74"/>
      <c r="X91" s="74"/>
      <c r="Y91" s="74"/>
    </row>
    <row r="92" spans="22:25" x14ac:dyDescent="0.25">
      <c r="V92" s="74"/>
      <c r="W92" s="74"/>
      <c r="X92" s="74"/>
      <c r="Y92" s="74"/>
    </row>
    <row r="93" spans="22:25" x14ac:dyDescent="0.25">
      <c r="V93" s="74"/>
      <c r="W93" s="74"/>
      <c r="X93" s="74"/>
      <c r="Y93" s="74"/>
    </row>
    <row r="94" spans="22:25" x14ac:dyDescent="0.25">
      <c r="V94" s="74"/>
      <c r="W94" s="74"/>
      <c r="X94" s="74"/>
      <c r="Y94" s="74"/>
    </row>
    <row r="228" spans="20:20" x14ac:dyDescent="0.25">
      <c r="T228" s="85"/>
    </row>
    <row r="229" spans="20:20" x14ac:dyDescent="0.25">
      <c r="T229" s="85"/>
    </row>
    <row r="230" spans="20:20" x14ac:dyDescent="0.25">
      <c r="T230" s="85"/>
    </row>
    <row r="231" spans="20:20" x14ac:dyDescent="0.25">
      <c r="T231" s="85"/>
    </row>
    <row r="232" spans="20:20" x14ac:dyDescent="0.25">
      <c r="T232" s="85"/>
    </row>
    <row r="233" spans="20:20" x14ac:dyDescent="0.25">
      <c r="T233" s="85"/>
    </row>
    <row r="234" spans="20:20" x14ac:dyDescent="0.25">
      <c r="T234" s="85"/>
    </row>
    <row r="235" spans="20:20" x14ac:dyDescent="0.25">
      <c r="T235" s="85"/>
    </row>
    <row r="236" spans="20:20" x14ac:dyDescent="0.25">
      <c r="T236" s="85"/>
    </row>
  </sheetData>
  <sheetProtection algorithmName="SHA-512" hashValue="tQIk1nK5CIc79UeOf5nh2VMUKXmJ4iiaBWoXqwv6LPqfyh9CB/TBVWYRlLvs3ON+gjdr0HEWFZGA+D1qBIbdkg==" saltValue="At9Q2TQLayLgfImC1MtOIA==" spinCount="100000" sheet="1" objects="1" scenarios="1"/>
  <mergeCells count="31">
    <mergeCell ref="B48:G48"/>
    <mergeCell ref="B8:G8"/>
    <mergeCell ref="B4:G4"/>
    <mergeCell ref="B16:G16"/>
    <mergeCell ref="B17:G17"/>
    <mergeCell ref="B9:G9"/>
    <mergeCell ref="B24:G24"/>
    <mergeCell ref="B25:G25"/>
    <mergeCell ref="B26:G26"/>
    <mergeCell ref="B27:G27"/>
    <mergeCell ref="B19:G19"/>
    <mergeCell ref="B20:G20"/>
    <mergeCell ref="B21:G21"/>
    <mergeCell ref="B22:G22"/>
    <mergeCell ref="B23:G23"/>
    <mergeCell ref="B29:G29"/>
    <mergeCell ref="B30:G30"/>
    <mergeCell ref="B31:G31"/>
    <mergeCell ref="B32:G32"/>
    <mergeCell ref="B33:G33"/>
    <mergeCell ref="B44:D44"/>
    <mergeCell ref="B45:D45"/>
    <mergeCell ref="B46:D46"/>
    <mergeCell ref="B34:G34"/>
    <mergeCell ref="B35:G35"/>
    <mergeCell ref="B36:G36"/>
    <mergeCell ref="B37:G37"/>
    <mergeCell ref="B38:G38"/>
    <mergeCell ref="B40:G40"/>
    <mergeCell ref="B42:D42"/>
    <mergeCell ref="B43:D43"/>
  </mergeCells>
  <pageMargins left="0.7" right="0.7" top="0.75" bottom="0.75" header="0.3" footer="0.3"/>
  <pageSetup scale="58" orientation="portrait" r:id="rId1"/>
  <legacy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'Background Information'!$W$64:$W$66</xm:f>
          </x14:formula1>
          <xm:sqref>H20</xm:sqref>
        </x14:dataValidation>
        <x14:dataValidation type="list" allowBlank="1" showInputMessage="1" showErrorMessage="1">
          <x14:formula1>
            <xm:f>'Background Information'!$W$59:$W$62</xm:f>
          </x14:formula1>
          <xm:sqref>H21</xm:sqref>
        </x14:dataValidation>
        <x14:dataValidation type="list" allowBlank="1" showInputMessage="1" showErrorMessage="1">
          <x14:formula1>
            <xm:f>'Background Information'!$W$68:$W$69</xm:f>
          </x14:formula1>
          <xm:sqref>H22</xm:sqref>
        </x14:dataValidation>
        <x14:dataValidation type="list" allowBlank="1" showInputMessage="1" showErrorMessage="1">
          <x14:formula1>
            <xm:f>'Background Information'!$W$71:$W$74</xm:f>
          </x14:formula1>
          <xm:sqref>H23</xm:sqref>
        </x14:dataValidation>
        <x14:dataValidation type="list" allowBlank="1" showInputMessage="1" showErrorMessage="1">
          <x14:formula1>
            <xm:f>'Background Information'!$W$76:$W$77</xm:f>
          </x14:formula1>
          <xm:sqref>H24</xm:sqref>
        </x14:dataValidation>
        <x14:dataValidation type="list" allowBlank="1" showInputMessage="1" showErrorMessage="1">
          <x14:formula1>
            <xm:f>'Background Information'!$W$79:$W$80</xm:f>
          </x14:formula1>
          <xm:sqref>H25</xm:sqref>
        </x14:dataValidation>
        <x14:dataValidation type="list" allowBlank="1" showInputMessage="1" showErrorMessage="1">
          <x14:formula1>
            <xm:f>'Background Information'!$W$82:$W$83</xm:f>
          </x14:formula1>
          <xm:sqref>H26</xm:sqref>
        </x14:dataValidation>
        <x14:dataValidation type="list" allowBlank="1" showInputMessage="1" showErrorMessage="1">
          <x14:formula1>
            <xm:f>'Background Information'!$W$85:$W$86</xm:f>
          </x14:formula1>
          <xm:sqref>H27</xm:sqref>
        </x14:dataValidation>
        <x14:dataValidation type="list" allowBlank="1" showInputMessage="1" showErrorMessage="1">
          <x14:formula1>
            <xm:f>'Background Information'!$W$88:$W$113</xm:f>
          </x14:formula1>
          <xm:sqref>H30</xm:sqref>
        </x14:dataValidation>
        <x14:dataValidation type="list" allowBlank="1" showInputMessage="1" showErrorMessage="1">
          <x14:formula1>
            <xm:f>'Background Information'!$W$115:$W$135</xm:f>
          </x14:formula1>
          <xm:sqref>H31</xm:sqref>
        </x14:dataValidation>
        <x14:dataValidation type="list" allowBlank="1" showInputMessage="1" showErrorMessage="1">
          <x14:formula1>
            <xm:f>'Background Information'!$W$139:$W$158</xm:f>
          </x14:formula1>
          <xm:sqref>H32</xm:sqref>
        </x14:dataValidation>
        <x14:dataValidation type="list" allowBlank="1" showInputMessage="1" showErrorMessage="1">
          <x14:formula1>
            <xm:f>'Background Information'!$W$161:$W$189</xm:f>
          </x14:formula1>
          <xm:sqref>H33</xm:sqref>
        </x14:dataValidation>
        <x14:dataValidation type="list" allowBlank="1" showInputMessage="1" showErrorMessage="1">
          <x14:formula1>
            <xm:f>'Background Information'!$W$191:$W$229</xm:f>
          </x14:formula1>
          <xm:sqref>H34:H38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B23" sqref="B23"/>
    </sheetView>
  </sheetViews>
  <sheetFormatPr defaultRowHeight="15" x14ac:dyDescent="0.25"/>
  <cols>
    <col min="2" max="2" width="43.28515625" customWidth="1"/>
    <col min="3" max="3" width="21.7109375" customWidth="1"/>
    <col min="4" max="4" width="14.7109375" customWidth="1"/>
    <col min="5" max="5" width="23.85546875" customWidth="1"/>
    <col min="6" max="6" width="14.7109375" customWidth="1"/>
  </cols>
  <sheetData>
    <row r="1" spans="1:9" s="74" customFormat="1" x14ac:dyDescent="0.25">
      <c r="A1" s="1"/>
      <c r="B1" s="1"/>
      <c r="C1" s="1"/>
      <c r="D1" s="1"/>
      <c r="E1" s="1"/>
      <c r="F1" s="1"/>
      <c r="G1" s="1"/>
      <c r="H1" s="1"/>
      <c r="I1" s="1"/>
    </row>
    <row r="2" spans="1:9" s="74" customFormat="1" ht="16.5" thickBot="1" x14ac:dyDescent="0.3">
      <c r="A2" s="1"/>
      <c r="B2" s="2" t="s">
        <v>97</v>
      </c>
      <c r="C2" s="3"/>
      <c r="D2" s="3"/>
      <c r="E2" s="3"/>
      <c r="F2" s="3"/>
    </row>
    <row r="3" spans="1:9" s="74" customFormat="1" ht="15.75" x14ac:dyDescent="0.25">
      <c r="A3" s="1"/>
      <c r="B3" s="94"/>
      <c r="C3" s="80"/>
      <c r="D3" s="80"/>
      <c r="E3" s="80"/>
      <c r="F3" s="80"/>
    </row>
    <row r="4" spans="1:9" s="74" customFormat="1" ht="15.75" x14ac:dyDescent="0.25">
      <c r="A4" s="1"/>
      <c r="B4" s="98" t="s">
        <v>98</v>
      </c>
      <c r="C4" s="80"/>
      <c r="D4" s="80"/>
      <c r="E4" s="80"/>
      <c r="F4" s="80"/>
    </row>
    <row r="5" spans="1:9" s="74" customFormat="1" ht="30" customHeight="1" x14ac:dyDescent="0.25">
      <c r="A5" s="1"/>
      <c r="B5" s="1"/>
      <c r="C5" s="93" t="s">
        <v>93</v>
      </c>
      <c r="D5" s="93" t="s">
        <v>52</v>
      </c>
      <c r="E5" s="93" t="s">
        <v>79</v>
      </c>
      <c r="F5" s="93" t="s">
        <v>94</v>
      </c>
    </row>
    <row r="6" spans="1:9" x14ac:dyDescent="0.25">
      <c r="A6" s="1"/>
      <c r="B6" s="1" t="s">
        <v>87</v>
      </c>
      <c r="C6" s="95">
        <f>'User Input Worksheet'!H17+'Background Information'!$W$27+'Background Information'!$E$14</f>
        <v>271.53100000000001</v>
      </c>
      <c r="D6" s="96">
        <f>'User Input Worksheet'!H5</f>
        <v>45203</v>
      </c>
      <c r="E6" s="11">
        <f>'User Input Worksheet'!H6</f>
        <v>550</v>
      </c>
      <c r="F6" s="95">
        <f>(E6/100)*C6</f>
        <v>1493.4204999999999</v>
      </c>
    </row>
    <row r="7" spans="1:9" x14ac:dyDescent="0.25">
      <c r="A7" s="1"/>
      <c r="B7" s="1" t="s">
        <v>88</v>
      </c>
      <c r="C7" s="95">
        <f>'User Input Worksheet'!H42+'Background Information'!$W$27+'Background Information'!$F$14</f>
        <v>256.76799999999997</v>
      </c>
      <c r="D7" s="96">
        <f>'User Input Worksheet'!F42</f>
        <v>45227</v>
      </c>
      <c r="E7" s="97">
        <f>'User Input Worksheet'!G42</f>
        <v>602.79999999999995</v>
      </c>
      <c r="F7" s="95">
        <f>(E7/100)*C7*(1-'User Input Worksheet'!$H$31)</f>
        <v>1540.0585164799998</v>
      </c>
    </row>
    <row r="8" spans="1:9" x14ac:dyDescent="0.25">
      <c r="A8" s="1"/>
      <c r="B8" s="1" t="s">
        <v>89</v>
      </c>
      <c r="C8" s="95">
        <f>'User Input Worksheet'!H43+'Background Information'!$W$27+'Background Information'!$G$14</f>
        <v>257.154</v>
      </c>
      <c r="D8" s="96">
        <f>'User Input Worksheet'!F43</f>
        <v>45237</v>
      </c>
      <c r="E8" s="97">
        <f>'User Input Worksheet'!G43</f>
        <v>624.79999999999995</v>
      </c>
      <c r="F8" s="95">
        <f>(E8/100)*C8*(1-'User Input Worksheet'!$H$31)</f>
        <v>1598.6647010399997</v>
      </c>
    </row>
    <row r="9" spans="1:9" x14ac:dyDescent="0.25">
      <c r="A9" s="1"/>
      <c r="B9" s="1" t="s">
        <v>90</v>
      </c>
      <c r="C9" s="95">
        <f>'User Input Worksheet'!H44+'Background Information'!$W$27+'Background Information'!$H$14</f>
        <v>257.16900000000004</v>
      </c>
      <c r="D9" s="96">
        <f>'User Input Worksheet'!F44</f>
        <v>45248</v>
      </c>
      <c r="E9" s="97">
        <f>'User Input Worksheet'!G44</f>
        <v>649</v>
      </c>
      <c r="F9" s="95">
        <f>(E9/100)*C9*(1-'User Input Worksheet'!$H$31)</f>
        <v>1660.6816759500002</v>
      </c>
    </row>
    <row r="10" spans="1:9" x14ac:dyDescent="0.25">
      <c r="A10" s="1"/>
      <c r="B10" s="1" t="s">
        <v>91</v>
      </c>
      <c r="C10" s="95">
        <f>'User Input Worksheet'!H45+'Background Information'!$W$27+'Background Information'!$I$14</f>
        <v>250.30800000000002</v>
      </c>
      <c r="D10" s="96">
        <f>'User Input Worksheet'!F45</f>
        <v>45263</v>
      </c>
      <c r="E10" s="97">
        <f>'User Input Worksheet'!G45</f>
        <v>682</v>
      </c>
      <c r="F10" s="95">
        <f>(E10/100)*C10*(1-'User Input Worksheet'!$H$31)</f>
        <v>1698.5650572000004</v>
      </c>
    </row>
    <row r="11" spans="1:9" x14ac:dyDescent="0.25">
      <c r="A11" s="1"/>
      <c r="B11" s="1" t="s">
        <v>92</v>
      </c>
      <c r="C11" s="95">
        <f>'User Input Worksheet'!H46+'Background Information'!$W$27+'Background Information'!$J$14</f>
        <v>250.06500000000003</v>
      </c>
      <c r="D11" s="96">
        <f>'User Input Worksheet'!F46</f>
        <v>45263</v>
      </c>
      <c r="E11" s="97">
        <f>'User Input Worksheet'!G46</f>
        <v>682</v>
      </c>
      <c r="F11" s="95">
        <f>(E11/100)*C11*(1-'User Input Worksheet'!$H$31)</f>
        <v>1696.9160835000002</v>
      </c>
    </row>
    <row r="12" spans="1:9" x14ac:dyDescent="0.25">
      <c r="A12" s="1"/>
      <c r="B12" s="1"/>
      <c r="C12" s="1"/>
      <c r="D12" s="1"/>
      <c r="E12" s="1"/>
      <c r="F12" s="1"/>
    </row>
    <row r="13" spans="1:9" ht="15.75" x14ac:dyDescent="0.25">
      <c r="A13" s="1"/>
      <c r="B13" s="98" t="s">
        <v>103</v>
      </c>
      <c r="C13" s="1"/>
      <c r="D13" s="1"/>
      <c r="E13" s="1"/>
      <c r="F13" s="1"/>
    </row>
    <row r="14" spans="1:9" ht="30" customHeight="1" x14ac:dyDescent="0.25">
      <c r="A14" s="1"/>
      <c r="B14" s="1"/>
      <c r="C14" s="93" t="s">
        <v>95</v>
      </c>
      <c r="D14" s="1"/>
      <c r="E14" s="93" t="s">
        <v>96</v>
      </c>
      <c r="F14" s="1"/>
    </row>
    <row r="15" spans="1:9" x14ac:dyDescent="0.25">
      <c r="A15" s="1"/>
      <c r="B15" s="1" t="str">
        <f>B7</f>
        <v>Precondition, VAC 24 Program</v>
      </c>
      <c r="C15" s="95">
        <f>24*('User Input Worksheet'!$H$32+'User Input Worksheet'!$H$33)+'User Input Worksheet'!$H34</f>
        <v>61.800000000000004</v>
      </c>
      <c r="D15" s="1"/>
      <c r="E15" s="95">
        <f>(F7-$F$6)-C15</f>
        <v>-15.161983520000199</v>
      </c>
      <c r="F15" s="1"/>
      <c r="I15" s="74"/>
    </row>
    <row r="16" spans="1:9" x14ac:dyDescent="0.25">
      <c r="A16" s="1"/>
      <c r="B16" s="1" t="str">
        <f t="shared" ref="B16:B19" si="0">B8</f>
        <v>Precondition, VAC 34 Program</v>
      </c>
      <c r="C16" s="95">
        <f>34*('User Input Worksheet'!$H$32+'User Input Worksheet'!$H$33)+'User Input Worksheet'!$H35</f>
        <v>88.300000000000011</v>
      </c>
      <c r="D16" s="1"/>
      <c r="E16" s="95">
        <f>(F8-$F$6)-C16</f>
        <v>16.944201039999768</v>
      </c>
      <c r="F16" s="1"/>
      <c r="I16" s="74"/>
    </row>
    <row r="17" spans="1:9" x14ac:dyDescent="0.25">
      <c r="A17" s="1"/>
      <c r="B17" s="1" t="str">
        <f t="shared" si="0"/>
        <v>Precondition, VAC 45 Program</v>
      </c>
      <c r="C17" s="95">
        <f>45*('User Input Worksheet'!$H$32+'User Input Worksheet'!$H$33)+'User Input Worksheet'!$H36</f>
        <v>117.25000000000001</v>
      </c>
      <c r="D17" s="1"/>
      <c r="E17" s="95">
        <f>(F9-$F$6)-C17</f>
        <v>50.011175950000265</v>
      </c>
      <c r="F17" s="1"/>
      <c r="I17" s="74"/>
    </row>
    <row r="18" spans="1:9" x14ac:dyDescent="0.25">
      <c r="A18" s="1"/>
      <c r="B18" s="1" t="str">
        <f t="shared" si="0"/>
        <v>Precondition, VAC 60 Program</v>
      </c>
      <c r="C18" s="95">
        <f>60*('User Input Worksheet'!$H$32+'User Input Worksheet'!$H$33)+'User Input Worksheet'!$H37</f>
        <v>154</v>
      </c>
      <c r="D18" s="1"/>
      <c r="E18" s="95">
        <f>(F10-$F$6)-C18</f>
        <v>51.144557200000463</v>
      </c>
      <c r="F18" s="1"/>
      <c r="I18" s="74"/>
    </row>
    <row r="19" spans="1:9" x14ac:dyDescent="0.25">
      <c r="A19" s="1"/>
      <c r="B19" s="1" t="str">
        <f t="shared" si="0"/>
        <v>Precondition, VAC PreCon Program</v>
      </c>
      <c r="C19" s="95">
        <f>60*('User Input Worksheet'!$H$32+'User Input Worksheet'!$H$33)+'User Input Worksheet'!$H38</f>
        <v>154</v>
      </c>
      <c r="D19" s="1"/>
      <c r="E19" s="95">
        <f>(F11-$F$6)-C19</f>
        <v>49.495583500000293</v>
      </c>
      <c r="F19" s="1"/>
      <c r="I19" s="74"/>
    </row>
    <row r="20" spans="1:9" x14ac:dyDescent="0.25">
      <c r="A20" s="1"/>
      <c r="C20" s="1"/>
      <c r="D20" s="1"/>
      <c r="E20" s="1"/>
      <c r="F20" s="1"/>
    </row>
    <row r="21" spans="1:9" x14ac:dyDescent="0.25">
      <c r="A21" s="1"/>
      <c r="B21" s="105" t="str">
        <f>IF(COUNTBLANK('User Input Worksheet'!I5:I46)=42,"","You have input errors, please return to the User Input Worksheet tab")</f>
        <v/>
      </c>
      <c r="C21" s="1"/>
      <c r="D21" s="1"/>
      <c r="E21" s="1"/>
      <c r="F21" s="1"/>
    </row>
    <row r="22" spans="1:9" x14ac:dyDescent="0.25">
      <c r="A22" s="1"/>
      <c r="C22" s="1"/>
      <c r="D22" s="1"/>
      <c r="E22" s="1"/>
      <c r="F22" s="1"/>
    </row>
  </sheetData>
  <sheetProtection algorithmName="SHA-512" hashValue="ZfdmGGQdXHGK0bRYrsYLgoSWo1kr1Y4hazQBFBlB3UqiEBMoEt8OWSKibkbYQo6zf3XSxFw8dLhPBD3Zhh6G+A==" saltValue="+lXGN0AlAPiZWAcySnrVjg=="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0"/>
  <sheetViews>
    <sheetView workbookViewId="0">
      <selection activeCell="D27" sqref="D27"/>
    </sheetView>
  </sheetViews>
  <sheetFormatPr defaultRowHeight="15" x14ac:dyDescent="0.25"/>
  <cols>
    <col min="1" max="1" width="5.140625" customWidth="1"/>
    <col min="2" max="2" width="61.85546875" customWidth="1"/>
    <col min="3" max="3" width="5" customWidth="1"/>
    <col min="4" max="4" width="41.28515625" customWidth="1"/>
    <col min="5" max="5" width="41.28515625" style="74" customWidth="1"/>
    <col min="6" max="9" width="10.7109375" customWidth="1"/>
    <col min="10" max="10" width="11.7109375" bestFit="1" customWidth="1"/>
    <col min="12" max="12" width="19.7109375" bestFit="1" customWidth="1"/>
    <col min="13" max="13" width="56.85546875" bestFit="1" customWidth="1"/>
    <col min="14" max="14" width="11.5703125" customWidth="1"/>
    <col min="15" max="15" width="12.7109375" bestFit="1" customWidth="1"/>
    <col min="16" max="16" width="16" bestFit="1" customWidth="1"/>
    <col min="17" max="17" width="21.42578125" bestFit="1" customWidth="1"/>
    <col min="18" max="18" width="16.28515625" bestFit="1" customWidth="1"/>
    <col min="19" max="19" width="15.5703125" bestFit="1" customWidth="1"/>
    <col min="22" max="22" width="34.42578125" bestFit="1" customWidth="1"/>
    <col min="23" max="23" width="49.85546875" bestFit="1" customWidth="1"/>
  </cols>
  <sheetData>
    <row r="1" spans="1:12" x14ac:dyDescent="0.25">
      <c r="B1" s="57" t="s">
        <v>38</v>
      </c>
      <c r="C1" s="56"/>
      <c r="D1" s="56"/>
      <c r="E1" s="75"/>
    </row>
    <row r="2" spans="1:12" s="71" customFormat="1" x14ac:dyDescent="0.25">
      <c r="B2" s="70"/>
    </row>
    <row r="3" spans="1:12" s="71" customFormat="1" x14ac:dyDescent="0.25">
      <c r="B3" s="72" t="s">
        <v>39</v>
      </c>
      <c r="C3" s="73"/>
      <c r="D3" s="73"/>
      <c r="E3" s="73"/>
      <c r="F3" s="73"/>
      <c r="G3" s="73"/>
      <c r="H3" s="73"/>
      <c r="I3" s="73"/>
      <c r="J3" s="73"/>
      <c r="K3" s="73"/>
      <c r="L3" s="73"/>
    </row>
    <row r="5" spans="1:12" x14ac:dyDescent="0.25">
      <c r="D5" s="55" t="s">
        <v>31</v>
      </c>
      <c r="E5" s="55"/>
    </row>
    <row r="6" spans="1:12" x14ac:dyDescent="0.25">
      <c r="D6" t="s">
        <v>30</v>
      </c>
    </row>
    <row r="7" spans="1:12" ht="15.75" thickBot="1" x14ac:dyDescent="0.3">
      <c r="D7" s="3"/>
      <c r="E7" s="3" t="s">
        <v>102</v>
      </c>
      <c r="F7" s="3" t="s">
        <v>100</v>
      </c>
      <c r="G7" s="4" t="s">
        <v>0</v>
      </c>
      <c r="H7" s="4" t="s">
        <v>1</v>
      </c>
      <c r="I7" s="4" t="s">
        <v>2</v>
      </c>
      <c r="J7" s="4" t="s">
        <v>3</v>
      </c>
    </row>
    <row r="8" spans="1:12" x14ac:dyDescent="0.25">
      <c r="A8">
        <f>IF('User Input Worksheet'!$H9=1,1,0)</f>
        <v>0</v>
      </c>
      <c r="B8" s="112" t="s">
        <v>117</v>
      </c>
      <c r="D8" s="12" t="s">
        <v>4</v>
      </c>
      <c r="E8" s="13">
        <v>11.951000000000001</v>
      </c>
      <c r="F8" s="13">
        <v>0</v>
      </c>
      <c r="G8" s="13">
        <v>0</v>
      </c>
      <c r="H8" s="13">
        <v>11.558999999999999</v>
      </c>
      <c r="I8" s="13">
        <v>12.64</v>
      </c>
      <c r="J8" s="13">
        <v>0</v>
      </c>
    </row>
    <row r="9" spans="1:12" x14ac:dyDescent="0.25">
      <c r="A9" s="109">
        <f>IF('User Input Worksheet'!$H10=1,1,0)</f>
        <v>0</v>
      </c>
      <c r="B9" s="110" t="s">
        <v>118</v>
      </c>
      <c r="D9" s="12" t="s">
        <v>4</v>
      </c>
      <c r="E9" s="13">
        <v>4.68</v>
      </c>
      <c r="F9" s="13">
        <v>0</v>
      </c>
      <c r="G9" s="13">
        <v>3.9420000000000002</v>
      </c>
      <c r="H9" s="13">
        <v>8.1479999999999997</v>
      </c>
      <c r="I9" s="13">
        <v>6.8659999999999997</v>
      </c>
      <c r="J9" s="13">
        <v>4.38</v>
      </c>
    </row>
    <row r="10" spans="1:12" x14ac:dyDescent="0.25">
      <c r="A10" s="109">
        <f>IF('User Input Worksheet'!$H11=1,1,0)</f>
        <v>0</v>
      </c>
      <c r="B10" s="110" t="s">
        <v>119</v>
      </c>
      <c r="D10" s="12" t="s">
        <v>4</v>
      </c>
      <c r="E10" s="13">
        <v>6.9889999999999999</v>
      </c>
      <c r="F10" s="13">
        <v>0</v>
      </c>
      <c r="G10" s="13">
        <v>3.403</v>
      </c>
      <c r="H10" s="13">
        <v>9.8689999999999998</v>
      </c>
      <c r="I10" s="13">
        <v>9.4239999999999995</v>
      </c>
      <c r="J10" s="13">
        <v>8.1240000000000006</v>
      </c>
    </row>
    <row r="11" spans="1:12" x14ac:dyDescent="0.25">
      <c r="A11" s="109">
        <f>IF('User Input Worksheet'!$H12=1,1,0)</f>
        <v>0</v>
      </c>
      <c r="B11" s="110" t="s">
        <v>120</v>
      </c>
      <c r="D11" s="12" t="s">
        <v>4</v>
      </c>
      <c r="E11" s="13">
        <v>3.1269999999999998</v>
      </c>
      <c r="F11" s="13">
        <v>0</v>
      </c>
      <c r="G11" s="13">
        <v>2.2519999999999998</v>
      </c>
      <c r="H11" s="13">
        <v>3.847</v>
      </c>
      <c r="I11" s="13">
        <v>4.0199999999999996</v>
      </c>
      <c r="J11" s="13">
        <v>2.9790000000000001</v>
      </c>
    </row>
    <row r="12" spans="1:12" x14ac:dyDescent="0.25">
      <c r="A12" s="109">
        <f>IF('User Input Worksheet'!$H13=1,1,0)</f>
        <v>0</v>
      </c>
      <c r="B12" s="110" t="s">
        <v>121</v>
      </c>
      <c r="D12" s="12" t="s">
        <v>4</v>
      </c>
      <c r="E12" s="13">
        <v>-3.5859999999999999</v>
      </c>
      <c r="F12" s="13">
        <v>0</v>
      </c>
      <c r="G12" s="13">
        <v>3.26</v>
      </c>
      <c r="H12" s="13">
        <v>7.34</v>
      </c>
      <c r="I12" s="13">
        <v>5.0039999999999996</v>
      </c>
      <c r="J12" s="13">
        <v>0</v>
      </c>
    </row>
    <row r="13" spans="1:12" x14ac:dyDescent="0.25">
      <c r="A13" s="109">
        <f>IF('User Input Worksheet'!$H14=1,1,0)</f>
        <v>1</v>
      </c>
      <c r="B13" s="1" t="s">
        <v>29</v>
      </c>
      <c r="D13" s="12" t="s">
        <v>4</v>
      </c>
      <c r="E13" s="13">
        <v>3.9630000000000001</v>
      </c>
      <c r="F13" s="13">
        <v>0</v>
      </c>
      <c r="G13" s="13">
        <v>4.516</v>
      </c>
      <c r="H13" s="13">
        <v>8.641</v>
      </c>
      <c r="I13" s="13">
        <v>7.15</v>
      </c>
      <c r="J13" s="13">
        <v>6.907</v>
      </c>
    </row>
    <row r="14" spans="1:12" x14ac:dyDescent="0.25">
      <c r="D14" s="150" t="s">
        <v>123</v>
      </c>
      <c r="E14" s="13">
        <f>SUMPRODUCT($A$8:$A$13,E$8:E$13)</f>
        <v>3.9630000000000001</v>
      </c>
      <c r="F14" s="13">
        <f t="shared" ref="F14:J14" si="0">SUMPRODUCT($A$8:$A$13,F$8:F$13)</f>
        <v>0</v>
      </c>
      <c r="G14" s="13">
        <f t="shared" si="0"/>
        <v>4.516</v>
      </c>
      <c r="H14" s="13">
        <f t="shared" si="0"/>
        <v>8.641</v>
      </c>
      <c r="I14" s="13">
        <f t="shared" si="0"/>
        <v>7.15</v>
      </c>
      <c r="J14" s="13">
        <f t="shared" si="0"/>
        <v>6.907</v>
      </c>
    </row>
    <row r="15" spans="1:12" x14ac:dyDescent="0.25">
      <c r="F15" s="74"/>
    </row>
    <row r="16" spans="1:12" x14ac:dyDescent="0.25">
      <c r="F16" s="74"/>
    </row>
    <row r="17" spans="2:26" x14ac:dyDescent="0.25">
      <c r="D17" s="55" t="s">
        <v>33</v>
      </c>
      <c r="F17" s="55"/>
      <c r="G17" s="67" t="s">
        <v>35</v>
      </c>
    </row>
    <row r="18" spans="2:26" x14ac:dyDescent="0.25">
      <c r="F18" s="74"/>
    </row>
    <row r="19" spans="2:26" x14ac:dyDescent="0.25">
      <c r="F19" s="74" t="str">
        <f>F7</f>
        <v>Vac24</v>
      </c>
      <c r="G19" s="74" t="str">
        <f>G7</f>
        <v>Vac34</v>
      </c>
      <c r="H19" s="74" t="str">
        <f>H7</f>
        <v>Vac45</v>
      </c>
      <c r="I19" s="74" t="str">
        <f>I7</f>
        <v>Vac60</v>
      </c>
      <c r="J19" t="str">
        <f>J7</f>
        <v>Vac PreCon</v>
      </c>
    </row>
    <row r="20" spans="2:26" ht="15.75" thickBot="1" x14ac:dyDescent="0.3">
      <c r="D20" s="14" t="s">
        <v>99</v>
      </c>
      <c r="F20" s="100">
        <f>Results!E15</f>
        <v>-15.161983520000199</v>
      </c>
      <c r="G20" s="99">
        <f>Results!E16</f>
        <v>16.944201039999768</v>
      </c>
      <c r="H20" s="99">
        <f>Results!E17</f>
        <v>50.011175950000265</v>
      </c>
      <c r="I20" s="99">
        <f>Results!E18</f>
        <v>51.144557200000463</v>
      </c>
      <c r="J20" s="99">
        <f>Results!E19</f>
        <v>49.495583500000293</v>
      </c>
    </row>
    <row r="21" spans="2:26" x14ac:dyDescent="0.25">
      <c r="D21" s="58" t="s">
        <v>32</v>
      </c>
      <c r="E21" s="101"/>
      <c r="F21" s="64" t="str">
        <f>IF(MAX($F$20:$J$20)=F20,F20,"")</f>
        <v/>
      </c>
      <c r="G21" s="64" t="str">
        <f>IF(MAX($F$20:$J$20)=G20,G20,"")</f>
        <v/>
      </c>
      <c r="H21" s="64" t="str">
        <f>IF(MAX($F$20:$J$20)=H20,H20,"")</f>
        <v/>
      </c>
      <c r="I21" s="64">
        <f>IF(MAX($F$20:$J$20)=I20,I20,"")</f>
        <v>51.144557200000463</v>
      </c>
      <c r="J21" s="65" t="str">
        <f>IF(MAX($F$20:$J$20)=J20,J20,"")</f>
        <v/>
      </c>
    </row>
    <row r="22" spans="2:26" x14ac:dyDescent="0.25">
      <c r="D22" s="59" t="s">
        <v>34</v>
      </c>
      <c r="E22" s="102"/>
      <c r="F22" s="63" t="str">
        <f>IF(F21&lt;&gt;"","",IF(F23&lt;&gt;"","",F20))</f>
        <v/>
      </c>
      <c r="G22" s="63">
        <f>IF(G21&lt;&gt;"","",IF(G23&lt;&gt;"","",G20))</f>
        <v>16.944201039999768</v>
      </c>
      <c r="H22" s="63">
        <f t="shared" ref="H22:J22" si="1">IF(H21&lt;&gt;"","",IF(H23&lt;&gt;"","",H20))</f>
        <v>50.011175950000265</v>
      </c>
      <c r="I22" s="63" t="str">
        <f t="shared" si="1"/>
        <v/>
      </c>
      <c r="J22" s="66">
        <f t="shared" si="1"/>
        <v>49.495583500000293</v>
      </c>
    </row>
    <row r="23" spans="2:26" ht="15.75" thickBot="1" x14ac:dyDescent="0.3">
      <c r="D23" s="60" t="s">
        <v>101</v>
      </c>
      <c r="E23" s="103"/>
      <c r="F23" s="61">
        <f>IF(F20&lt;0,F20,"")</f>
        <v>-15.161983520000199</v>
      </c>
      <c r="G23" s="61" t="str">
        <f>IF(G20&lt;0,G20,"")</f>
        <v/>
      </c>
      <c r="H23" s="61" t="str">
        <f t="shared" ref="H23:J23" si="2">IF(H20&lt;0,H20,"")</f>
        <v/>
      </c>
      <c r="I23" s="61" t="str">
        <f t="shared" si="2"/>
        <v/>
      </c>
      <c r="J23" s="62" t="str">
        <f t="shared" si="2"/>
        <v/>
      </c>
    </row>
    <row r="24" spans="2:26" x14ac:dyDescent="0.25">
      <c r="F24" s="74"/>
    </row>
    <row r="25" spans="2:26" x14ac:dyDescent="0.25">
      <c r="N25" s="107" t="s">
        <v>30</v>
      </c>
    </row>
    <row r="26" spans="2:26" x14ac:dyDescent="0.25">
      <c r="B26" s="74"/>
      <c r="C26" s="74"/>
      <c r="D26" s="74"/>
      <c r="F26" s="74"/>
      <c r="G26" s="74"/>
      <c r="H26" s="74"/>
      <c r="I26" s="74"/>
      <c r="J26" s="74"/>
      <c r="K26" s="74"/>
      <c r="L26" s="74"/>
      <c r="M26" s="72" t="s">
        <v>40</v>
      </c>
      <c r="N26" s="73"/>
      <c r="O26" s="73"/>
      <c r="P26" s="73"/>
      <c r="Q26" s="73"/>
      <c r="R26" s="73"/>
      <c r="S26" s="73"/>
      <c r="T26" s="73"/>
      <c r="U26" s="73"/>
      <c r="V26" s="73"/>
      <c r="W26" s="73"/>
      <c r="X26" s="73"/>
      <c r="Y26" s="73"/>
      <c r="Z26" s="71"/>
    </row>
    <row r="27" spans="2:26" x14ac:dyDescent="0.25">
      <c r="B27" s="74"/>
      <c r="C27" s="74"/>
      <c r="D27" s="74"/>
      <c r="F27" s="74"/>
      <c r="G27" s="74"/>
      <c r="H27" s="74"/>
      <c r="I27" s="74"/>
      <c r="J27" s="74"/>
      <c r="K27" s="74"/>
      <c r="L27" s="74"/>
      <c r="N27">
        <f>IF('User Input Worksheet'!H9=1,1,0)</f>
        <v>0</v>
      </c>
      <c r="O27">
        <f>IF('User Input Worksheet'!H10=1,1,0)</f>
        <v>0</v>
      </c>
      <c r="P27">
        <f>IF('User Input Worksheet'!H11=1,1,0)</f>
        <v>0</v>
      </c>
      <c r="Q27">
        <f>IF('User Input Worksheet'!H12=1,1,0)</f>
        <v>0</v>
      </c>
      <c r="R27">
        <f>IF('User Input Worksheet'!H13=1,1,0)</f>
        <v>0</v>
      </c>
      <c r="S27">
        <f>IF('User Input Worksheet'!H14=1,1,0)</f>
        <v>1</v>
      </c>
      <c r="W27" s="85">
        <f>SUM(W29:W54)</f>
        <v>3.5680000000000001</v>
      </c>
    </row>
    <row r="28" spans="2:26" s="74" customFormat="1" ht="32.25" customHeight="1" thickBot="1" x14ac:dyDescent="0.3">
      <c r="N28" s="79" t="s">
        <v>117</v>
      </c>
      <c r="O28" s="114" t="s">
        <v>118</v>
      </c>
      <c r="P28" s="114" t="s">
        <v>119</v>
      </c>
      <c r="Q28" s="114" t="s">
        <v>120</v>
      </c>
      <c r="R28" s="114" t="s">
        <v>121</v>
      </c>
      <c r="S28" s="114" t="s">
        <v>51</v>
      </c>
      <c r="T28"/>
      <c r="U28" s="104" t="s">
        <v>107</v>
      </c>
      <c r="V28" s="104" t="s">
        <v>108</v>
      </c>
    </row>
    <row r="29" spans="2:26" ht="15" customHeight="1" x14ac:dyDescent="0.25">
      <c r="B29" s="74"/>
      <c r="C29" s="74"/>
      <c r="D29" s="74"/>
      <c r="F29" s="74"/>
      <c r="G29" s="74"/>
      <c r="H29" s="74"/>
      <c r="I29" s="74"/>
      <c r="J29" s="74"/>
      <c r="K29" s="74"/>
      <c r="L29" s="74" t="s">
        <v>104</v>
      </c>
      <c r="M29" s="82" t="s">
        <v>58</v>
      </c>
      <c r="N29" s="113">
        <v>0</v>
      </c>
      <c r="O29" s="113">
        <v>0</v>
      </c>
      <c r="P29" s="113">
        <v>0</v>
      </c>
      <c r="Q29" s="113">
        <v>0</v>
      </c>
      <c r="R29" s="113">
        <v>0</v>
      </c>
      <c r="S29" s="113">
        <v>0</v>
      </c>
      <c r="U29">
        <f>SUMPRODUCT($N$27:$S$27,N29:S29)</f>
        <v>0</v>
      </c>
      <c r="V29">
        <f>IF('User Input Worksheet'!$H$21=M29,1,0)</f>
        <v>1</v>
      </c>
      <c r="W29" s="84">
        <f>SUMPRODUCT(U29:U31,V29:V31)</f>
        <v>0</v>
      </c>
    </row>
    <row r="30" spans="2:26" ht="15" customHeight="1" x14ac:dyDescent="0.25">
      <c r="B30" s="74"/>
      <c r="C30" s="74"/>
      <c r="D30" s="74"/>
      <c r="F30" s="74"/>
      <c r="G30" s="74"/>
      <c r="H30" s="74"/>
      <c r="I30" s="74"/>
      <c r="J30" s="74"/>
      <c r="K30" s="74"/>
      <c r="L30" s="74"/>
      <c r="M30" s="82" t="s">
        <v>41</v>
      </c>
      <c r="N30" s="113">
        <v>0</v>
      </c>
      <c r="O30" s="113">
        <v>0</v>
      </c>
      <c r="P30" s="113">
        <v>0</v>
      </c>
      <c r="Q30" s="113">
        <v>0</v>
      </c>
      <c r="R30" s="113">
        <v>6.7919999999999998</v>
      </c>
      <c r="S30" s="113">
        <v>3.1110000000000002</v>
      </c>
      <c r="U30" s="74">
        <f>SUMPRODUCT($N$27:$S$27,N30:S30)</f>
        <v>3.1110000000000002</v>
      </c>
      <c r="V30" s="74">
        <f>IF('User Input Worksheet'!$H$21=M30,1,0)</f>
        <v>0</v>
      </c>
    </row>
    <row r="31" spans="2:26" ht="15" customHeight="1" x14ac:dyDescent="0.25">
      <c r="B31" s="74"/>
      <c r="C31" s="74"/>
      <c r="D31" s="74"/>
      <c r="F31" s="74"/>
      <c r="G31" s="74"/>
      <c r="H31" s="74"/>
      <c r="I31" s="74"/>
      <c r="J31" s="74"/>
      <c r="K31" s="74"/>
      <c r="L31" s="74"/>
      <c r="M31" s="82" t="s">
        <v>61</v>
      </c>
      <c r="N31" s="113">
        <v>3.4049999999999998</v>
      </c>
      <c r="O31" s="113">
        <v>0</v>
      </c>
      <c r="P31" s="113">
        <v>-1.02</v>
      </c>
      <c r="Q31" s="113">
        <v>0</v>
      </c>
      <c r="R31" s="113">
        <v>5.4420000000000002</v>
      </c>
      <c r="S31" s="113">
        <v>2.423</v>
      </c>
      <c r="U31" s="74">
        <f t="shared" ref="U31:U54" si="3">SUMPRODUCT($N$27:$S$27,N31:S31)</f>
        <v>2.423</v>
      </c>
      <c r="V31" s="74">
        <f>IF('User Input Worksheet'!$H$21=M31,1,0)</f>
        <v>0</v>
      </c>
    </row>
    <row r="32" spans="2:26" ht="15" customHeight="1" x14ac:dyDescent="0.25">
      <c r="B32" s="74"/>
      <c r="C32" s="74"/>
      <c r="D32" s="74"/>
      <c r="F32" s="74"/>
      <c r="G32" s="74"/>
      <c r="H32" s="74"/>
      <c r="I32" s="74"/>
      <c r="J32" s="74"/>
      <c r="K32" s="74"/>
      <c r="L32" s="74"/>
      <c r="M32" s="82"/>
      <c r="N32" s="113"/>
      <c r="O32" s="113"/>
      <c r="P32" s="113"/>
      <c r="Q32" s="113"/>
      <c r="R32" s="113"/>
      <c r="S32" s="113"/>
      <c r="U32" s="74"/>
    </row>
    <row r="33" spans="2:23" ht="15" customHeight="1" x14ac:dyDescent="0.25">
      <c r="B33" s="74"/>
      <c r="C33" s="74"/>
      <c r="D33" s="74"/>
      <c r="F33" s="74"/>
      <c r="G33" s="74"/>
      <c r="H33" s="74"/>
      <c r="I33" s="74"/>
      <c r="J33" s="74"/>
      <c r="K33" s="74"/>
      <c r="L33" s="74" t="s">
        <v>55</v>
      </c>
      <c r="M33" s="82" t="s">
        <v>59</v>
      </c>
      <c r="N33" s="113">
        <v>0</v>
      </c>
      <c r="O33" s="113">
        <v>0</v>
      </c>
      <c r="P33" s="113">
        <v>0</v>
      </c>
      <c r="Q33" s="113">
        <v>0</v>
      </c>
      <c r="R33" s="113">
        <v>0</v>
      </c>
      <c r="S33" s="113">
        <v>0</v>
      </c>
      <c r="U33" s="74">
        <f t="shared" si="3"/>
        <v>0</v>
      </c>
      <c r="V33">
        <f>IF('User Input Worksheet'!$H$20='Background Information'!M33,1,0)</f>
        <v>0</v>
      </c>
      <c r="W33" s="84">
        <f>SUMPRODUCT(U33:U35,V33:V35)</f>
        <v>0</v>
      </c>
    </row>
    <row r="34" spans="2:23" ht="15" customHeight="1" x14ac:dyDescent="0.25">
      <c r="B34" s="74"/>
      <c r="C34" s="74"/>
      <c r="D34" s="74"/>
      <c r="F34" s="74"/>
      <c r="G34" s="74"/>
      <c r="H34" s="74"/>
      <c r="I34" s="74"/>
      <c r="J34" s="74"/>
      <c r="K34" s="74"/>
      <c r="L34" s="74"/>
      <c r="M34" s="82" t="s">
        <v>42</v>
      </c>
      <c r="N34" s="113">
        <v>-4.274</v>
      </c>
      <c r="O34" s="113">
        <v>-2.8519999999999999</v>
      </c>
      <c r="P34" s="113">
        <v>-1.7250000000000001</v>
      </c>
      <c r="Q34" s="113">
        <v>0</v>
      </c>
      <c r="R34" s="113">
        <v>0</v>
      </c>
      <c r="S34" s="113">
        <v>-1.2909999999999999</v>
      </c>
      <c r="U34" s="74">
        <f>SUMPRODUCT($N$27:$S$27,N34:S34)</f>
        <v>-1.2909999999999999</v>
      </c>
      <c r="V34" s="74">
        <f>IF('User Input Worksheet'!$H$20='Background Information'!M34,1,0)</f>
        <v>0</v>
      </c>
    </row>
    <row r="35" spans="2:23" ht="15" customHeight="1" x14ac:dyDescent="0.25">
      <c r="B35" s="74"/>
      <c r="C35" s="74"/>
      <c r="D35" s="74"/>
      <c r="F35" s="74"/>
      <c r="G35" s="74"/>
      <c r="H35" s="74"/>
      <c r="I35" s="74"/>
      <c r="J35" s="74"/>
      <c r="K35" s="74"/>
      <c r="L35" s="74"/>
      <c r="M35" s="82" t="s">
        <v>43</v>
      </c>
      <c r="N35" s="113">
        <v>-3.3029999999999999</v>
      </c>
      <c r="O35" s="113">
        <v>1.431</v>
      </c>
      <c r="P35" s="113">
        <v>0</v>
      </c>
      <c r="Q35" s="113">
        <v>0</v>
      </c>
      <c r="R35" s="113">
        <v>0</v>
      </c>
      <c r="S35" s="113">
        <v>0</v>
      </c>
      <c r="U35" s="74">
        <f t="shared" si="3"/>
        <v>0</v>
      </c>
      <c r="V35" s="74">
        <f>IF('User Input Worksheet'!$H$20='Background Information'!M35,1,0)</f>
        <v>1</v>
      </c>
    </row>
    <row r="36" spans="2:23" ht="15" customHeight="1" x14ac:dyDescent="0.25">
      <c r="B36" s="74"/>
      <c r="C36" s="74"/>
      <c r="D36" s="74"/>
      <c r="F36" s="74"/>
      <c r="G36" s="74"/>
      <c r="H36" s="74"/>
      <c r="I36" s="74"/>
      <c r="J36" s="74"/>
      <c r="K36" s="74"/>
      <c r="L36" s="74"/>
      <c r="M36" s="82"/>
      <c r="N36" s="113"/>
      <c r="O36" s="113"/>
      <c r="P36" s="113"/>
      <c r="Q36" s="113"/>
      <c r="R36" s="113"/>
      <c r="S36" s="113"/>
      <c r="U36" s="74"/>
    </row>
    <row r="37" spans="2:23" ht="15" customHeight="1" x14ac:dyDescent="0.25">
      <c r="B37" s="74"/>
      <c r="C37" s="74"/>
      <c r="D37" s="74"/>
      <c r="F37" s="74"/>
      <c r="G37" s="74"/>
      <c r="H37" s="74"/>
      <c r="I37" s="74"/>
      <c r="J37" s="74"/>
      <c r="K37" s="74"/>
      <c r="L37" s="74" t="s">
        <v>56</v>
      </c>
      <c r="M37" s="54" t="s">
        <v>60</v>
      </c>
      <c r="N37" s="113">
        <v>1.1819999999999999</v>
      </c>
      <c r="O37" s="113">
        <v>1.659</v>
      </c>
      <c r="P37" s="113">
        <v>3.7370000000000001</v>
      </c>
      <c r="Q37" s="113">
        <v>1.6879999999999999</v>
      </c>
      <c r="R37" s="113">
        <v>5.0270000000000001</v>
      </c>
      <c r="S37" s="113">
        <v>3.5680000000000001</v>
      </c>
      <c r="U37" s="74">
        <f t="shared" si="3"/>
        <v>3.5680000000000001</v>
      </c>
      <c r="V37">
        <f>IF('User Input Worksheet'!$H$22='Background Information'!M37,1,0)</f>
        <v>1</v>
      </c>
      <c r="W37" s="84">
        <f>SUMPRODUCT(U37:U38,V37:V38)</f>
        <v>3.5680000000000001</v>
      </c>
    </row>
    <row r="38" spans="2:23" ht="15" customHeight="1" x14ac:dyDescent="0.25">
      <c r="B38" s="74"/>
      <c r="C38" s="74"/>
      <c r="D38" s="74"/>
      <c r="F38" s="74"/>
      <c r="G38" s="74"/>
      <c r="H38" s="74"/>
      <c r="I38" s="74"/>
      <c r="J38" s="74"/>
      <c r="K38" s="74"/>
      <c r="L38" s="74"/>
      <c r="M38" s="54" t="s">
        <v>46</v>
      </c>
      <c r="N38" s="113">
        <v>0</v>
      </c>
      <c r="O38" s="113">
        <v>0</v>
      </c>
      <c r="P38" s="113">
        <v>0</v>
      </c>
      <c r="Q38" s="113">
        <v>0</v>
      </c>
      <c r="R38" s="113">
        <v>0</v>
      </c>
      <c r="S38" s="113">
        <v>0</v>
      </c>
      <c r="U38" s="74">
        <f t="shared" si="3"/>
        <v>0</v>
      </c>
      <c r="V38" s="74">
        <f>IF('User Input Worksheet'!$H$22='Background Information'!M38,1,0)</f>
        <v>0</v>
      </c>
    </row>
    <row r="39" spans="2:23" ht="15" customHeight="1" x14ac:dyDescent="0.25">
      <c r="B39" s="74"/>
      <c r="C39" s="74"/>
      <c r="D39" s="74"/>
      <c r="F39" s="74"/>
      <c r="G39" s="74"/>
      <c r="H39" s="74"/>
      <c r="I39" s="74"/>
      <c r="J39" s="74"/>
      <c r="K39" s="74"/>
      <c r="L39" s="74"/>
      <c r="M39" s="54"/>
      <c r="N39" s="113"/>
      <c r="O39" s="113"/>
      <c r="P39" s="113"/>
      <c r="Q39" s="113"/>
      <c r="R39" s="113"/>
      <c r="S39" s="113"/>
      <c r="U39" s="74"/>
    </row>
    <row r="40" spans="2:23" ht="15" customHeight="1" x14ac:dyDescent="0.25">
      <c r="B40" s="74"/>
      <c r="C40" s="74"/>
      <c r="D40" s="74"/>
      <c r="F40" s="74"/>
      <c r="G40" s="74"/>
      <c r="H40" s="74"/>
      <c r="I40" s="74"/>
      <c r="J40" s="74"/>
      <c r="K40" s="74"/>
      <c r="L40" s="74" t="s">
        <v>57</v>
      </c>
      <c r="M40" s="54" t="s">
        <v>122</v>
      </c>
      <c r="N40" s="113">
        <v>0</v>
      </c>
      <c r="O40" s="113">
        <v>0</v>
      </c>
      <c r="P40" s="113">
        <v>0</v>
      </c>
      <c r="Q40" s="113">
        <v>0</v>
      </c>
      <c r="R40" s="113">
        <v>0</v>
      </c>
      <c r="S40" s="113">
        <v>0</v>
      </c>
      <c r="U40" s="74">
        <f t="shared" si="3"/>
        <v>0</v>
      </c>
      <c r="V40">
        <f>IF('User Input Worksheet'!$H$23='Background Information'!M40,1,0)</f>
        <v>1</v>
      </c>
      <c r="W40" s="84">
        <f>SUMPRODUCT(U40:U42,V40:V42)</f>
        <v>0</v>
      </c>
    </row>
    <row r="41" spans="2:23" ht="15" customHeight="1" x14ac:dyDescent="0.25">
      <c r="B41" s="74"/>
      <c r="C41" s="74"/>
      <c r="D41" s="74"/>
      <c r="F41" s="74"/>
      <c r="G41" s="74"/>
      <c r="H41" s="74"/>
      <c r="I41" s="74"/>
      <c r="J41" s="74"/>
      <c r="K41" s="74"/>
      <c r="L41" s="74"/>
      <c r="M41" s="54" t="s">
        <v>44</v>
      </c>
      <c r="N41" s="113">
        <v>0</v>
      </c>
      <c r="O41" s="113">
        <v>-4.0309999999999997</v>
      </c>
      <c r="P41" s="113">
        <v>-1.5580000000000001</v>
      </c>
      <c r="Q41" s="113">
        <v>0</v>
      </c>
      <c r="R41" s="113">
        <v>-13.445</v>
      </c>
      <c r="S41" s="113">
        <v>-7.431</v>
      </c>
      <c r="U41" s="74">
        <f t="shared" si="3"/>
        <v>-7.431</v>
      </c>
      <c r="V41" s="74">
        <f>IF('User Input Worksheet'!$H$23='Background Information'!M41,1,0)</f>
        <v>0</v>
      </c>
    </row>
    <row r="42" spans="2:23" ht="15" customHeight="1" x14ac:dyDescent="0.25">
      <c r="B42" s="74"/>
      <c r="C42" s="74"/>
      <c r="D42" s="74"/>
      <c r="F42" s="74"/>
      <c r="G42" s="74"/>
      <c r="H42" s="74"/>
      <c r="I42" s="74"/>
      <c r="J42" s="74"/>
      <c r="K42" s="74"/>
      <c r="L42" s="74"/>
      <c r="M42" s="54" t="s">
        <v>45</v>
      </c>
      <c r="N42" s="113">
        <v>-3.5449999999999999</v>
      </c>
      <c r="O42" s="113">
        <v>-0.97799999999999998</v>
      </c>
      <c r="P42" s="113">
        <f>--1.153</f>
        <v>1.153</v>
      </c>
      <c r="Q42" s="113">
        <v>-2.6909999999999998</v>
      </c>
      <c r="R42" s="113">
        <v>2.0979999999999999</v>
      </c>
      <c r="S42" s="113">
        <v>0</v>
      </c>
      <c r="U42" s="74">
        <f t="shared" si="3"/>
        <v>0</v>
      </c>
      <c r="V42" s="74">
        <f>IF('User Input Worksheet'!$H$23='Background Information'!M42,1,0)</f>
        <v>0</v>
      </c>
    </row>
    <row r="43" spans="2:23" ht="15" customHeight="1" x14ac:dyDescent="0.25">
      <c r="B43" s="74"/>
      <c r="C43" s="74"/>
      <c r="D43" s="74"/>
      <c r="F43" s="74"/>
      <c r="G43" s="74"/>
      <c r="H43" s="74"/>
      <c r="I43" s="74"/>
      <c r="J43" s="74"/>
      <c r="K43" s="74"/>
      <c r="L43" s="74"/>
      <c r="M43" s="54"/>
      <c r="N43" s="113"/>
      <c r="O43" s="113"/>
      <c r="P43" s="113"/>
      <c r="Q43" s="113"/>
      <c r="R43" s="113"/>
      <c r="S43" s="113"/>
      <c r="U43" s="74"/>
    </row>
    <row r="44" spans="2:23" ht="15" customHeight="1" x14ac:dyDescent="0.25">
      <c r="B44" s="74"/>
      <c r="C44" s="74"/>
      <c r="D44" s="74"/>
      <c r="F44" s="74"/>
      <c r="G44" s="74"/>
      <c r="H44" s="74"/>
      <c r="I44" s="74"/>
      <c r="J44" s="74"/>
      <c r="K44" s="74"/>
      <c r="L44" s="78" t="s">
        <v>105</v>
      </c>
      <c r="M44" s="54" t="s">
        <v>46</v>
      </c>
      <c r="N44" s="113">
        <v>7.71</v>
      </c>
      <c r="O44" s="113">
        <v>4.5659999999999998</v>
      </c>
      <c r="P44" s="113">
        <v>1.988</v>
      </c>
      <c r="Q44" s="113">
        <v>2.5019999999999998</v>
      </c>
      <c r="R44" s="113">
        <v>6.6859999999999999</v>
      </c>
      <c r="S44" s="113">
        <v>5.726</v>
      </c>
      <c r="U44" s="74">
        <f t="shared" si="3"/>
        <v>5.726</v>
      </c>
      <c r="V44">
        <f>IF('User Input Worksheet'!$H$24='Background Information'!M44,1,0)</f>
        <v>0</v>
      </c>
      <c r="W44" s="84">
        <f>SUMPRODUCT(U44:U45,V44:V45)</f>
        <v>0</v>
      </c>
    </row>
    <row r="45" spans="2:23" ht="15" customHeight="1" x14ac:dyDescent="0.25">
      <c r="B45" s="74"/>
      <c r="C45" s="74"/>
      <c r="D45" s="74"/>
      <c r="F45" s="74"/>
      <c r="G45" s="74"/>
      <c r="H45" s="74"/>
      <c r="I45" s="74"/>
      <c r="J45" s="74"/>
      <c r="K45" s="74"/>
      <c r="L45" s="74"/>
      <c r="M45" s="54" t="s">
        <v>60</v>
      </c>
      <c r="N45" s="113">
        <v>0</v>
      </c>
      <c r="O45" s="113">
        <v>0</v>
      </c>
      <c r="P45" s="113">
        <v>0</v>
      </c>
      <c r="Q45" s="113">
        <v>0</v>
      </c>
      <c r="R45" s="113">
        <v>0</v>
      </c>
      <c r="S45" s="113">
        <v>0</v>
      </c>
      <c r="U45" s="74">
        <f t="shared" si="3"/>
        <v>0</v>
      </c>
      <c r="V45" s="74">
        <f>IF('User Input Worksheet'!$H$24='Background Information'!M45,1,0)</f>
        <v>1</v>
      </c>
    </row>
    <row r="46" spans="2:23" ht="15" customHeight="1" x14ac:dyDescent="0.25">
      <c r="B46" s="74"/>
      <c r="C46" s="74"/>
      <c r="D46" s="74"/>
      <c r="F46" s="74"/>
      <c r="G46" s="74"/>
      <c r="H46" s="74"/>
      <c r="I46" s="74"/>
      <c r="J46" s="74"/>
      <c r="K46" s="74"/>
      <c r="L46" s="74"/>
      <c r="M46" s="54"/>
      <c r="N46" s="113"/>
      <c r="O46" s="113"/>
      <c r="P46" s="113"/>
      <c r="Q46" s="113"/>
      <c r="R46" s="113"/>
      <c r="S46" s="113"/>
      <c r="U46" s="74"/>
    </row>
    <row r="47" spans="2:23" ht="15" customHeight="1" x14ac:dyDescent="0.25">
      <c r="B47" s="74"/>
      <c r="C47" s="74"/>
      <c r="D47" s="74"/>
      <c r="F47" s="74"/>
      <c r="G47" s="74"/>
      <c r="H47" s="74"/>
      <c r="I47" s="74"/>
      <c r="J47" s="74"/>
      <c r="K47" s="74"/>
      <c r="L47" s="74" t="s">
        <v>47</v>
      </c>
      <c r="M47" s="54" t="s">
        <v>46</v>
      </c>
      <c r="N47" s="113">
        <v>1.673</v>
      </c>
      <c r="O47" s="113">
        <v>1.583</v>
      </c>
      <c r="P47" s="113">
        <v>3.5710000000000002</v>
      </c>
      <c r="Q47" s="113">
        <v>1.6020000000000001</v>
      </c>
      <c r="R47" s="113">
        <v>1.306</v>
      </c>
      <c r="S47" s="113">
        <v>1.5509999999999999</v>
      </c>
      <c r="U47" s="74">
        <f t="shared" si="3"/>
        <v>1.5509999999999999</v>
      </c>
      <c r="V47" s="74">
        <f>IF('User Input Worksheet'!$H$25='Background Information'!M47,1,0)</f>
        <v>0</v>
      </c>
      <c r="W47" s="84">
        <f>SUMPRODUCT(U47:U48,V47:V48)</f>
        <v>0</v>
      </c>
    </row>
    <row r="48" spans="2:23" ht="15" customHeight="1" x14ac:dyDescent="0.25">
      <c r="B48" s="74"/>
      <c r="C48" s="74"/>
      <c r="D48" s="74"/>
      <c r="F48" s="74"/>
      <c r="G48" s="74"/>
      <c r="H48" s="74"/>
      <c r="I48" s="74"/>
      <c r="J48" s="74"/>
      <c r="K48" s="74"/>
      <c r="L48" s="74"/>
      <c r="M48" s="54" t="s">
        <v>60</v>
      </c>
      <c r="N48" s="113">
        <v>0</v>
      </c>
      <c r="O48" s="113">
        <v>0</v>
      </c>
      <c r="P48" s="113">
        <v>0</v>
      </c>
      <c r="Q48" s="113">
        <v>0</v>
      </c>
      <c r="R48" s="113">
        <v>0</v>
      </c>
      <c r="S48" s="113">
        <v>0</v>
      </c>
      <c r="U48" s="74">
        <f t="shared" si="3"/>
        <v>0</v>
      </c>
      <c r="V48" s="74">
        <f>IF('User Input Worksheet'!$H$25='Background Information'!M48,1,0)</f>
        <v>1</v>
      </c>
    </row>
    <row r="49" spans="2:23" ht="15" customHeight="1" x14ac:dyDescent="0.25">
      <c r="B49" s="74"/>
      <c r="C49" s="74"/>
      <c r="D49" s="74"/>
      <c r="F49" s="74"/>
      <c r="G49" s="74"/>
      <c r="H49" s="74"/>
      <c r="I49" s="74"/>
      <c r="J49" s="74"/>
      <c r="K49" s="74"/>
      <c r="L49" s="74"/>
      <c r="M49" s="54"/>
      <c r="N49" s="113"/>
      <c r="O49" s="113"/>
      <c r="P49" s="113"/>
      <c r="Q49" s="113"/>
      <c r="R49" s="113"/>
      <c r="S49" s="113"/>
      <c r="U49" s="74"/>
    </row>
    <row r="50" spans="2:23" ht="15" customHeight="1" x14ac:dyDescent="0.25">
      <c r="B50" s="74"/>
      <c r="C50" s="74"/>
      <c r="D50" s="74"/>
      <c r="F50" s="74"/>
      <c r="G50" s="74"/>
      <c r="H50" s="74"/>
      <c r="I50" s="74"/>
      <c r="J50" s="74"/>
      <c r="K50" s="74"/>
      <c r="L50" s="74" t="s">
        <v>106</v>
      </c>
      <c r="M50" s="54" t="s">
        <v>46</v>
      </c>
      <c r="N50" s="113">
        <v>1.224</v>
      </c>
      <c r="O50" s="113">
        <v>0.89100000000000001</v>
      </c>
      <c r="P50" s="113">
        <v>0</v>
      </c>
      <c r="Q50" s="113">
        <v>1.4239999999999999</v>
      </c>
      <c r="R50" s="113">
        <v>3.4929999999999999</v>
      </c>
      <c r="S50" s="113">
        <v>1.401</v>
      </c>
      <c r="U50" s="74">
        <f t="shared" si="3"/>
        <v>1.401</v>
      </c>
      <c r="V50" s="74">
        <f>IF('User Input Worksheet'!$H$26='Background Information'!M50,1,0)</f>
        <v>0</v>
      </c>
      <c r="W50" s="84">
        <f>SUMPRODUCT(U50:U51,V50:V51)</f>
        <v>0</v>
      </c>
    </row>
    <row r="51" spans="2:23" ht="15" customHeight="1" x14ac:dyDescent="0.25">
      <c r="B51" s="74"/>
      <c r="C51" s="74"/>
      <c r="D51" s="74"/>
      <c r="F51" s="74"/>
      <c r="G51" s="74"/>
      <c r="H51" s="74"/>
      <c r="I51" s="74"/>
      <c r="J51" s="74"/>
      <c r="K51" s="74"/>
      <c r="L51" s="74"/>
      <c r="M51" s="54" t="s">
        <v>60</v>
      </c>
      <c r="N51" s="113">
        <v>0</v>
      </c>
      <c r="O51" s="113">
        <v>0</v>
      </c>
      <c r="P51" s="113">
        <v>0</v>
      </c>
      <c r="Q51" s="113">
        <v>0</v>
      </c>
      <c r="R51" s="113">
        <v>0</v>
      </c>
      <c r="S51" s="113">
        <v>0</v>
      </c>
      <c r="U51" s="74">
        <f t="shared" si="3"/>
        <v>0</v>
      </c>
      <c r="V51" s="74">
        <f>IF('User Input Worksheet'!$H$26='Background Information'!M51,1,0)</f>
        <v>1</v>
      </c>
    </row>
    <row r="52" spans="2:23" ht="15" customHeight="1" x14ac:dyDescent="0.25">
      <c r="B52" s="74"/>
      <c r="C52" s="74"/>
      <c r="D52" s="74"/>
      <c r="F52" s="74"/>
      <c r="G52" s="74"/>
      <c r="H52" s="74"/>
      <c r="I52" s="74"/>
      <c r="J52" s="74"/>
      <c r="K52" s="74"/>
      <c r="L52" s="74"/>
      <c r="M52" s="54"/>
      <c r="N52" s="113"/>
      <c r="O52" s="113"/>
      <c r="P52" s="113"/>
      <c r="Q52" s="113"/>
      <c r="R52" s="113"/>
      <c r="S52" s="113"/>
      <c r="U52" s="74"/>
    </row>
    <row r="53" spans="2:23" ht="15" customHeight="1" x14ac:dyDescent="0.25">
      <c r="B53" s="74"/>
      <c r="C53" s="74"/>
      <c r="D53" s="74"/>
      <c r="F53" s="74"/>
      <c r="G53" s="74"/>
      <c r="H53" s="74"/>
      <c r="I53" s="74"/>
      <c r="J53" s="74"/>
      <c r="K53" s="74"/>
      <c r="L53" s="74" t="s">
        <v>48</v>
      </c>
      <c r="M53" s="54" t="s">
        <v>46</v>
      </c>
      <c r="N53" s="113">
        <v>1.976</v>
      </c>
      <c r="O53" s="113">
        <v>5.7759999999999998</v>
      </c>
      <c r="P53" s="113">
        <v>6.8840000000000003</v>
      </c>
      <c r="Q53" s="113">
        <v>9.6649999999999991</v>
      </c>
      <c r="R53" s="113">
        <v>0</v>
      </c>
      <c r="S53" s="113">
        <v>3.6419999999999999</v>
      </c>
      <c r="U53" s="74">
        <f t="shared" si="3"/>
        <v>3.6419999999999999</v>
      </c>
      <c r="V53" s="74">
        <f>IF('User Input Worksheet'!$H$27='Background Information'!M53,1,0)</f>
        <v>0</v>
      </c>
      <c r="W53" s="84">
        <f>SUMPRODUCT(U53:U54,V53:V54)</f>
        <v>0</v>
      </c>
    </row>
    <row r="54" spans="2:23" ht="15" customHeight="1" x14ac:dyDescent="0.25">
      <c r="M54" s="54" t="s">
        <v>60</v>
      </c>
      <c r="N54" s="113">
        <v>0</v>
      </c>
      <c r="O54" s="113">
        <v>0</v>
      </c>
      <c r="P54" s="113">
        <v>0</v>
      </c>
      <c r="Q54" s="113">
        <v>0</v>
      </c>
      <c r="R54" s="113">
        <v>0</v>
      </c>
      <c r="S54" s="113">
        <v>0</v>
      </c>
      <c r="U54" s="74">
        <f t="shared" si="3"/>
        <v>0</v>
      </c>
      <c r="V54" s="74">
        <f>IF('User Input Worksheet'!$H$27='Background Information'!M54,1,0)</f>
        <v>1</v>
      </c>
    </row>
    <row r="55" spans="2:23" ht="15" customHeight="1" x14ac:dyDescent="0.25">
      <c r="N55" s="113"/>
      <c r="O55" s="113"/>
      <c r="R55" s="113"/>
      <c r="S55" s="113"/>
    </row>
    <row r="56" spans="2:23" ht="15" customHeight="1" x14ac:dyDescent="0.25">
      <c r="N56" s="113"/>
      <c r="R56" s="113"/>
      <c r="S56" s="113"/>
      <c r="V56" s="92" t="s">
        <v>85</v>
      </c>
    </row>
    <row r="57" spans="2:23" ht="15" customHeight="1" x14ac:dyDescent="0.25"/>
    <row r="58" spans="2:23" ht="15" customHeight="1" x14ac:dyDescent="0.25">
      <c r="W58" s="77"/>
    </row>
    <row r="59" spans="2:23" ht="15" customHeight="1" x14ac:dyDescent="0.25">
      <c r="V59" s="69" t="s">
        <v>54</v>
      </c>
      <c r="W59" s="76"/>
    </row>
    <row r="60" spans="2:23" ht="15" customHeight="1" x14ac:dyDescent="0.25">
      <c r="W60" s="76" t="s">
        <v>41</v>
      </c>
    </row>
    <row r="61" spans="2:23" ht="15" customHeight="1" x14ac:dyDescent="0.25">
      <c r="W61" s="76" t="s">
        <v>61</v>
      </c>
    </row>
    <row r="62" spans="2:23" x14ac:dyDescent="0.25">
      <c r="W62" s="76" t="s">
        <v>58</v>
      </c>
    </row>
    <row r="64" spans="2:23" x14ac:dyDescent="0.25">
      <c r="V64" s="69" t="s">
        <v>55</v>
      </c>
      <c r="W64" s="76" t="s">
        <v>43</v>
      </c>
    </row>
    <row r="65" spans="22:23" x14ac:dyDescent="0.25">
      <c r="W65" s="76" t="s">
        <v>59</v>
      </c>
    </row>
    <row r="66" spans="22:23" x14ac:dyDescent="0.25">
      <c r="W66" s="76" t="s">
        <v>42</v>
      </c>
    </row>
    <row r="68" spans="22:23" x14ac:dyDescent="0.25">
      <c r="V68" s="69" t="s">
        <v>56</v>
      </c>
      <c r="W68" s="77" t="s">
        <v>46</v>
      </c>
    </row>
    <row r="69" spans="22:23" x14ac:dyDescent="0.25">
      <c r="W69" s="77" t="s">
        <v>60</v>
      </c>
    </row>
    <row r="70" spans="22:23" x14ac:dyDescent="0.25">
      <c r="W70" s="77"/>
    </row>
    <row r="71" spans="22:23" x14ac:dyDescent="0.25">
      <c r="V71" s="69" t="s">
        <v>57</v>
      </c>
      <c r="W71" s="108"/>
    </row>
    <row r="72" spans="22:23" x14ac:dyDescent="0.25">
      <c r="W72" s="77" t="s">
        <v>44</v>
      </c>
    </row>
    <row r="73" spans="22:23" x14ac:dyDescent="0.25">
      <c r="W73" s="77" t="s">
        <v>45</v>
      </c>
    </row>
    <row r="74" spans="22:23" x14ac:dyDescent="0.25">
      <c r="W74" s="77" t="s">
        <v>122</v>
      </c>
    </row>
    <row r="75" spans="22:23" x14ac:dyDescent="0.25">
      <c r="W75" s="77"/>
    </row>
    <row r="76" spans="22:23" x14ac:dyDescent="0.25">
      <c r="V76" s="69" t="s">
        <v>49</v>
      </c>
      <c r="W76" s="77" t="s">
        <v>46</v>
      </c>
    </row>
    <row r="77" spans="22:23" x14ac:dyDescent="0.25">
      <c r="W77" s="77" t="s">
        <v>60</v>
      </c>
    </row>
    <row r="78" spans="22:23" x14ac:dyDescent="0.25">
      <c r="W78" s="77"/>
    </row>
    <row r="79" spans="22:23" x14ac:dyDescent="0.25">
      <c r="V79" s="69" t="s">
        <v>47</v>
      </c>
      <c r="W79" s="77" t="s">
        <v>46</v>
      </c>
    </row>
    <row r="80" spans="22:23" x14ac:dyDescent="0.25">
      <c r="W80" s="77" t="s">
        <v>60</v>
      </c>
    </row>
    <row r="81" spans="22:24" x14ac:dyDescent="0.25">
      <c r="W81" s="77"/>
    </row>
    <row r="82" spans="22:24" x14ac:dyDescent="0.25">
      <c r="V82" s="69" t="s">
        <v>50</v>
      </c>
      <c r="W82" s="77" t="s">
        <v>46</v>
      </c>
    </row>
    <row r="83" spans="22:24" x14ac:dyDescent="0.25">
      <c r="W83" s="77" t="s">
        <v>60</v>
      </c>
    </row>
    <row r="84" spans="22:24" x14ac:dyDescent="0.25">
      <c r="W84" s="77"/>
    </row>
    <row r="85" spans="22:24" x14ac:dyDescent="0.25">
      <c r="V85" s="69" t="s">
        <v>48</v>
      </c>
      <c r="W85" s="77" t="s">
        <v>46</v>
      </c>
    </row>
    <row r="86" spans="22:24" x14ac:dyDescent="0.25">
      <c r="W86" s="77" t="s">
        <v>60</v>
      </c>
    </row>
    <row r="88" spans="22:24" x14ac:dyDescent="0.25">
      <c r="W88" s="86">
        <v>0.5</v>
      </c>
    </row>
    <row r="89" spans="22:24" x14ac:dyDescent="0.25">
      <c r="V89" s="69" t="s">
        <v>64</v>
      </c>
      <c r="W89" s="86">
        <v>0.6</v>
      </c>
      <c r="X89" s="74"/>
    </row>
    <row r="90" spans="22:24" x14ac:dyDescent="0.25">
      <c r="W90" s="86">
        <v>0.7</v>
      </c>
      <c r="X90" s="74"/>
    </row>
    <row r="91" spans="22:24" x14ac:dyDescent="0.25">
      <c r="W91" s="86">
        <v>0.8</v>
      </c>
      <c r="X91" s="74"/>
    </row>
    <row r="92" spans="22:24" x14ac:dyDescent="0.25">
      <c r="W92" s="86">
        <v>0.9</v>
      </c>
      <c r="X92" s="74"/>
    </row>
    <row r="93" spans="22:24" x14ac:dyDescent="0.25">
      <c r="W93" s="86">
        <v>1</v>
      </c>
      <c r="X93" s="74"/>
    </row>
    <row r="94" spans="22:24" x14ac:dyDescent="0.25">
      <c r="W94" s="86">
        <v>1.1000000000000001</v>
      </c>
      <c r="X94" s="74"/>
    </row>
    <row r="95" spans="22:24" x14ac:dyDescent="0.25">
      <c r="W95" s="86">
        <v>1.2</v>
      </c>
      <c r="X95" s="74"/>
    </row>
    <row r="96" spans="22:24" x14ac:dyDescent="0.25">
      <c r="W96" s="86">
        <v>1.3</v>
      </c>
      <c r="X96" s="74"/>
    </row>
    <row r="97" spans="23:24" x14ac:dyDescent="0.25">
      <c r="W97" s="86">
        <v>1.4</v>
      </c>
      <c r="X97" s="74"/>
    </row>
    <row r="98" spans="23:24" x14ac:dyDescent="0.25">
      <c r="W98" s="86">
        <v>1.5</v>
      </c>
    </row>
    <row r="99" spans="23:24" x14ac:dyDescent="0.25">
      <c r="W99" s="86">
        <v>1.6</v>
      </c>
    </row>
    <row r="100" spans="23:24" x14ac:dyDescent="0.25">
      <c r="W100" s="86">
        <v>1.7</v>
      </c>
    </row>
    <row r="101" spans="23:24" x14ac:dyDescent="0.25">
      <c r="W101" s="86">
        <v>1.8</v>
      </c>
    </row>
    <row r="102" spans="23:24" x14ac:dyDescent="0.25">
      <c r="W102" s="86">
        <v>1.9</v>
      </c>
    </row>
    <row r="103" spans="23:24" x14ac:dyDescent="0.25">
      <c r="W103" s="86">
        <v>2</v>
      </c>
    </row>
    <row r="104" spans="23:24" x14ac:dyDescent="0.25">
      <c r="W104" s="86">
        <v>2.1</v>
      </c>
    </row>
    <row r="105" spans="23:24" x14ac:dyDescent="0.25">
      <c r="W105" s="86">
        <v>2.2000000000000002</v>
      </c>
    </row>
    <row r="106" spans="23:24" x14ac:dyDescent="0.25">
      <c r="W106" s="86">
        <v>2.2999999999999998</v>
      </c>
    </row>
    <row r="107" spans="23:24" x14ac:dyDescent="0.25">
      <c r="W107" s="86">
        <v>2.4</v>
      </c>
    </row>
    <row r="108" spans="23:24" x14ac:dyDescent="0.25">
      <c r="W108" s="86">
        <v>2.5</v>
      </c>
    </row>
    <row r="109" spans="23:24" x14ac:dyDescent="0.25">
      <c r="W109" s="86">
        <v>2.6</v>
      </c>
    </row>
    <row r="110" spans="23:24" x14ac:dyDescent="0.25">
      <c r="W110" s="86">
        <v>2.7</v>
      </c>
    </row>
    <row r="111" spans="23:24" x14ac:dyDescent="0.25">
      <c r="W111" s="86">
        <v>2.8</v>
      </c>
    </row>
    <row r="112" spans="23:24" x14ac:dyDescent="0.25">
      <c r="W112" s="86">
        <v>2.9</v>
      </c>
    </row>
    <row r="113" spans="22:23" x14ac:dyDescent="0.25">
      <c r="W113" s="86">
        <v>3</v>
      </c>
    </row>
    <row r="115" spans="22:23" x14ac:dyDescent="0.25">
      <c r="V115" s="69" t="s">
        <v>65</v>
      </c>
      <c r="W115" s="83">
        <v>0</v>
      </c>
    </row>
    <row r="116" spans="22:23" x14ac:dyDescent="0.25">
      <c r="W116" s="83">
        <v>1E-3</v>
      </c>
    </row>
    <row r="117" spans="22:23" x14ac:dyDescent="0.25">
      <c r="W117" s="83">
        <v>2E-3</v>
      </c>
    </row>
    <row r="118" spans="22:23" x14ac:dyDescent="0.25">
      <c r="W118" s="83">
        <v>3.0000000000000001E-3</v>
      </c>
    </row>
    <row r="119" spans="22:23" x14ac:dyDescent="0.25">
      <c r="W119" s="83">
        <v>4.0000000000000001E-3</v>
      </c>
    </row>
    <row r="120" spans="22:23" x14ac:dyDescent="0.25">
      <c r="W120" s="83">
        <v>5.0000000000000001E-3</v>
      </c>
    </row>
    <row r="121" spans="22:23" x14ac:dyDescent="0.25">
      <c r="W121" s="83">
        <v>6.0000000000000001E-3</v>
      </c>
    </row>
    <row r="122" spans="22:23" x14ac:dyDescent="0.25">
      <c r="W122" s="83">
        <v>7.0000000000000001E-3</v>
      </c>
    </row>
    <row r="123" spans="22:23" x14ac:dyDescent="0.25">
      <c r="W123" s="83">
        <v>8.0000000000000002E-3</v>
      </c>
    </row>
    <row r="124" spans="22:23" x14ac:dyDescent="0.25">
      <c r="W124" s="83">
        <v>8.9999999999999993E-3</v>
      </c>
    </row>
    <row r="125" spans="22:23" x14ac:dyDescent="0.25">
      <c r="W125" s="83">
        <v>0.01</v>
      </c>
    </row>
    <row r="126" spans="22:23" x14ac:dyDescent="0.25">
      <c r="W126" s="83">
        <v>1.0999999999999999E-2</v>
      </c>
    </row>
    <row r="127" spans="22:23" x14ac:dyDescent="0.25">
      <c r="W127" s="83">
        <v>1.2E-2</v>
      </c>
    </row>
    <row r="128" spans="22:23" x14ac:dyDescent="0.25">
      <c r="W128" s="83">
        <v>1.2999999999999999E-2</v>
      </c>
    </row>
    <row r="129" spans="22:23" x14ac:dyDescent="0.25">
      <c r="W129" s="83">
        <v>1.4E-2</v>
      </c>
    </row>
    <row r="130" spans="22:23" x14ac:dyDescent="0.25">
      <c r="W130" s="83">
        <v>1.4999999999999999E-2</v>
      </c>
    </row>
    <row r="131" spans="22:23" x14ac:dyDescent="0.25">
      <c r="W131" s="83">
        <v>1.6E-2</v>
      </c>
    </row>
    <row r="132" spans="22:23" x14ac:dyDescent="0.25">
      <c r="W132" s="83">
        <v>1.7000000000000001E-2</v>
      </c>
    </row>
    <row r="133" spans="22:23" x14ac:dyDescent="0.25">
      <c r="W133" s="83">
        <v>1.7999999999999999E-2</v>
      </c>
    </row>
    <row r="134" spans="22:23" x14ac:dyDescent="0.25">
      <c r="W134" s="83">
        <v>1.9E-2</v>
      </c>
    </row>
    <row r="135" spans="22:23" x14ac:dyDescent="0.25">
      <c r="W135" s="83">
        <v>0.02</v>
      </c>
    </row>
    <row r="138" spans="22:23" x14ac:dyDescent="0.25">
      <c r="V138" s="69" t="s">
        <v>66</v>
      </c>
      <c r="W138" s="84">
        <v>0</v>
      </c>
    </row>
    <row r="139" spans="22:23" x14ac:dyDescent="0.25">
      <c r="W139" s="85">
        <f t="shared" ref="W139:W158" si="4">W138+0.25</f>
        <v>0.25</v>
      </c>
    </row>
    <row r="140" spans="22:23" x14ac:dyDescent="0.25">
      <c r="W140" s="85">
        <f t="shared" si="4"/>
        <v>0.5</v>
      </c>
    </row>
    <row r="141" spans="22:23" x14ac:dyDescent="0.25">
      <c r="W141" s="85">
        <f t="shared" si="4"/>
        <v>0.75</v>
      </c>
    </row>
    <row r="142" spans="22:23" x14ac:dyDescent="0.25">
      <c r="W142" s="85">
        <f t="shared" si="4"/>
        <v>1</v>
      </c>
    </row>
    <row r="143" spans="22:23" x14ac:dyDescent="0.25">
      <c r="W143" s="85">
        <f t="shared" si="4"/>
        <v>1.25</v>
      </c>
    </row>
    <row r="144" spans="22:23" x14ac:dyDescent="0.25">
      <c r="W144" s="85">
        <f t="shared" si="4"/>
        <v>1.5</v>
      </c>
    </row>
    <row r="145" spans="23:23" x14ac:dyDescent="0.25">
      <c r="W145" s="85">
        <f t="shared" si="4"/>
        <v>1.75</v>
      </c>
    </row>
    <row r="146" spans="23:23" x14ac:dyDescent="0.25">
      <c r="W146" s="85">
        <f t="shared" si="4"/>
        <v>2</v>
      </c>
    </row>
    <row r="147" spans="23:23" x14ac:dyDescent="0.25">
      <c r="W147" s="85">
        <f t="shared" si="4"/>
        <v>2.25</v>
      </c>
    </row>
    <row r="148" spans="23:23" x14ac:dyDescent="0.25">
      <c r="W148" s="85">
        <f t="shared" si="4"/>
        <v>2.5</v>
      </c>
    </row>
    <row r="149" spans="23:23" x14ac:dyDescent="0.25">
      <c r="W149" s="85">
        <f t="shared" si="4"/>
        <v>2.75</v>
      </c>
    </row>
    <row r="150" spans="23:23" x14ac:dyDescent="0.25">
      <c r="W150" s="85">
        <f t="shared" si="4"/>
        <v>3</v>
      </c>
    </row>
    <row r="151" spans="23:23" x14ac:dyDescent="0.25">
      <c r="W151" s="85">
        <f t="shared" si="4"/>
        <v>3.25</v>
      </c>
    </row>
    <row r="152" spans="23:23" x14ac:dyDescent="0.25">
      <c r="W152" s="85">
        <f t="shared" si="4"/>
        <v>3.5</v>
      </c>
    </row>
    <row r="153" spans="23:23" x14ac:dyDescent="0.25">
      <c r="W153" s="85">
        <f t="shared" si="4"/>
        <v>3.75</v>
      </c>
    </row>
    <row r="154" spans="23:23" x14ac:dyDescent="0.25">
      <c r="W154" s="85">
        <f t="shared" si="4"/>
        <v>4</v>
      </c>
    </row>
    <row r="155" spans="23:23" x14ac:dyDescent="0.25">
      <c r="W155" s="85">
        <f t="shared" si="4"/>
        <v>4.25</v>
      </c>
    </row>
    <row r="156" spans="23:23" x14ac:dyDescent="0.25">
      <c r="W156" s="85">
        <f t="shared" si="4"/>
        <v>4.5</v>
      </c>
    </row>
    <row r="157" spans="23:23" x14ac:dyDescent="0.25">
      <c r="W157" s="85">
        <f t="shared" si="4"/>
        <v>4.75</v>
      </c>
    </row>
    <row r="158" spans="23:23" x14ac:dyDescent="0.25">
      <c r="W158" s="85">
        <f t="shared" si="4"/>
        <v>5</v>
      </c>
    </row>
    <row r="159" spans="23:23" x14ac:dyDescent="0.25">
      <c r="W159" s="85"/>
    </row>
    <row r="161" spans="22:23" x14ac:dyDescent="0.25">
      <c r="V161" s="69" t="s">
        <v>67</v>
      </c>
      <c r="W161" s="84">
        <v>0.1</v>
      </c>
    </row>
    <row r="162" spans="22:23" x14ac:dyDescent="0.25">
      <c r="W162" s="85">
        <f t="shared" ref="W162:W189" si="5">W161+0.05</f>
        <v>0.15000000000000002</v>
      </c>
    </row>
    <row r="163" spans="22:23" x14ac:dyDescent="0.25">
      <c r="W163" s="85">
        <f t="shared" si="5"/>
        <v>0.2</v>
      </c>
    </row>
    <row r="164" spans="22:23" x14ac:dyDescent="0.25">
      <c r="W164" s="85">
        <f t="shared" si="5"/>
        <v>0.25</v>
      </c>
    </row>
    <row r="165" spans="22:23" x14ac:dyDescent="0.25">
      <c r="W165" s="85">
        <f t="shared" si="5"/>
        <v>0.3</v>
      </c>
    </row>
    <row r="166" spans="22:23" x14ac:dyDescent="0.25">
      <c r="W166" s="85">
        <f t="shared" si="5"/>
        <v>0.35</v>
      </c>
    </row>
    <row r="167" spans="22:23" x14ac:dyDescent="0.25">
      <c r="W167" s="85">
        <f t="shared" si="5"/>
        <v>0.39999999999999997</v>
      </c>
    </row>
    <row r="168" spans="22:23" x14ac:dyDescent="0.25">
      <c r="W168" s="85">
        <f t="shared" si="5"/>
        <v>0.44999999999999996</v>
      </c>
    </row>
    <row r="169" spans="22:23" x14ac:dyDescent="0.25">
      <c r="W169" s="85">
        <f t="shared" si="5"/>
        <v>0.49999999999999994</v>
      </c>
    </row>
    <row r="170" spans="22:23" x14ac:dyDescent="0.25">
      <c r="W170" s="85">
        <f t="shared" si="5"/>
        <v>0.54999999999999993</v>
      </c>
    </row>
    <row r="171" spans="22:23" x14ac:dyDescent="0.25">
      <c r="W171" s="85">
        <f t="shared" si="5"/>
        <v>0.6</v>
      </c>
    </row>
    <row r="172" spans="22:23" x14ac:dyDescent="0.25">
      <c r="W172" s="85">
        <f t="shared" si="5"/>
        <v>0.65</v>
      </c>
    </row>
    <row r="173" spans="22:23" x14ac:dyDescent="0.25">
      <c r="W173" s="85">
        <f t="shared" si="5"/>
        <v>0.70000000000000007</v>
      </c>
    </row>
    <row r="174" spans="22:23" x14ac:dyDescent="0.25">
      <c r="W174" s="85">
        <f t="shared" si="5"/>
        <v>0.75000000000000011</v>
      </c>
    </row>
    <row r="175" spans="22:23" x14ac:dyDescent="0.25">
      <c r="W175" s="85">
        <f t="shared" si="5"/>
        <v>0.80000000000000016</v>
      </c>
    </row>
    <row r="176" spans="22:23" x14ac:dyDescent="0.25">
      <c r="W176" s="85">
        <f t="shared" si="5"/>
        <v>0.8500000000000002</v>
      </c>
    </row>
    <row r="177" spans="22:23" x14ac:dyDescent="0.25">
      <c r="W177" s="85">
        <f t="shared" si="5"/>
        <v>0.90000000000000024</v>
      </c>
    </row>
    <row r="178" spans="22:23" x14ac:dyDescent="0.25">
      <c r="W178" s="85">
        <f t="shared" si="5"/>
        <v>0.95000000000000029</v>
      </c>
    </row>
    <row r="179" spans="22:23" x14ac:dyDescent="0.25">
      <c r="W179" s="85">
        <f t="shared" si="5"/>
        <v>1.0000000000000002</v>
      </c>
    </row>
    <row r="180" spans="22:23" x14ac:dyDescent="0.25">
      <c r="W180" s="85">
        <f t="shared" si="5"/>
        <v>1.0500000000000003</v>
      </c>
    </row>
    <row r="181" spans="22:23" x14ac:dyDescent="0.25">
      <c r="W181" s="85">
        <f t="shared" si="5"/>
        <v>1.1000000000000003</v>
      </c>
    </row>
    <row r="182" spans="22:23" x14ac:dyDescent="0.25">
      <c r="W182" s="85">
        <f t="shared" si="5"/>
        <v>1.1500000000000004</v>
      </c>
    </row>
    <row r="183" spans="22:23" x14ac:dyDescent="0.25">
      <c r="W183" s="85">
        <f t="shared" si="5"/>
        <v>1.2000000000000004</v>
      </c>
    </row>
    <row r="184" spans="22:23" x14ac:dyDescent="0.25">
      <c r="W184" s="85">
        <f t="shared" si="5"/>
        <v>1.2500000000000004</v>
      </c>
    </row>
    <row r="185" spans="22:23" x14ac:dyDescent="0.25">
      <c r="W185" s="85">
        <f t="shared" si="5"/>
        <v>1.3000000000000005</v>
      </c>
    </row>
    <row r="186" spans="22:23" x14ac:dyDescent="0.25">
      <c r="W186" s="85">
        <f t="shared" si="5"/>
        <v>1.3500000000000005</v>
      </c>
    </row>
    <row r="187" spans="22:23" x14ac:dyDescent="0.25">
      <c r="W187" s="85">
        <f t="shared" si="5"/>
        <v>1.4000000000000006</v>
      </c>
    </row>
    <row r="188" spans="22:23" x14ac:dyDescent="0.25">
      <c r="W188" s="85">
        <f t="shared" si="5"/>
        <v>1.4500000000000006</v>
      </c>
    </row>
    <row r="189" spans="22:23" x14ac:dyDescent="0.25">
      <c r="W189" s="85">
        <f t="shared" si="5"/>
        <v>1.5000000000000007</v>
      </c>
    </row>
    <row r="191" spans="22:23" x14ac:dyDescent="0.25">
      <c r="V191" s="69" t="s">
        <v>68</v>
      </c>
      <c r="W191" s="84">
        <v>0.5</v>
      </c>
    </row>
    <row r="192" spans="22:23" x14ac:dyDescent="0.25">
      <c r="W192" s="85">
        <f t="shared" ref="W192:W229" si="6">W191+0.25</f>
        <v>0.75</v>
      </c>
    </row>
    <row r="193" spans="23:23" x14ac:dyDescent="0.25">
      <c r="W193" s="85">
        <f t="shared" si="6"/>
        <v>1</v>
      </c>
    </row>
    <row r="194" spans="23:23" x14ac:dyDescent="0.25">
      <c r="W194" s="85">
        <f t="shared" si="6"/>
        <v>1.25</v>
      </c>
    </row>
    <row r="195" spans="23:23" x14ac:dyDescent="0.25">
      <c r="W195" s="85">
        <f t="shared" si="6"/>
        <v>1.5</v>
      </c>
    </row>
    <row r="196" spans="23:23" x14ac:dyDescent="0.25">
      <c r="W196" s="85">
        <f t="shared" si="6"/>
        <v>1.75</v>
      </c>
    </row>
    <row r="197" spans="23:23" x14ac:dyDescent="0.25">
      <c r="W197" s="85">
        <f t="shared" si="6"/>
        <v>2</v>
      </c>
    </row>
    <row r="198" spans="23:23" x14ac:dyDescent="0.25">
      <c r="W198" s="85">
        <f t="shared" si="6"/>
        <v>2.25</v>
      </c>
    </row>
    <row r="199" spans="23:23" x14ac:dyDescent="0.25">
      <c r="W199" s="85">
        <f t="shared" si="6"/>
        <v>2.5</v>
      </c>
    </row>
    <row r="200" spans="23:23" x14ac:dyDescent="0.25">
      <c r="W200" s="85">
        <f t="shared" si="6"/>
        <v>2.75</v>
      </c>
    </row>
    <row r="201" spans="23:23" x14ac:dyDescent="0.25">
      <c r="W201" s="85">
        <f t="shared" si="6"/>
        <v>3</v>
      </c>
    </row>
    <row r="202" spans="23:23" x14ac:dyDescent="0.25">
      <c r="W202" s="85">
        <f t="shared" si="6"/>
        <v>3.25</v>
      </c>
    </row>
    <row r="203" spans="23:23" x14ac:dyDescent="0.25">
      <c r="W203" s="85">
        <f t="shared" si="6"/>
        <v>3.5</v>
      </c>
    </row>
    <row r="204" spans="23:23" x14ac:dyDescent="0.25">
      <c r="W204" s="85">
        <f t="shared" si="6"/>
        <v>3.75</v>
      </c>
    </row>
    <row r="205" spans="23:23" x14ac:dyDescent="0.25">
      <c r="W205" s="85">
        <f t="shared" si="6"/>
        <v>4</v>
      </c>
    </row>
    <row r="206" spans="23:23" x14ac:dyDescent="0.25">
      <c r="W206" s="85">
        <f t="shared" si="6"/>
        <v>4.25</v>
      </c>
    </row>
    <row r="207" spans="23:23" x14ac:dyDescent="0.25">
      <c r="W207" s="85">
        <f t="shared" si="6"/>
        <v>4.5</v>
      </c>
    </row>
    <row r="208" spans="23:23" x14ac:dyDescent="0.25">
      <c r="W208" s="85">
        <f t="shared" si="6"/>
        <v>4.75</v>
      </c>
    </row>
    <row r="209" spans="23:23" x14ac:dyDescent="0.25">
      <c r="W209" s="85">
        <f t="shared" si="6"/>
        <v>5</v>
      </c>
    </row>
    <row r="210" spans="23:23" x14ac:dyDescent="0.25">
      <c r="W210" s="85">
        <f t="shared" si="6"/>
        <v>5.25</v>
      </c>
    </row>
    <row r="211" spans="23:23" x14ac:dyDescent="0.25">
      <c r="W211" s="85">
        <f t="shared" si="6"/>
        <v>5.5</v>
      </c>
    </row>
    <row r="212" spans="23:23" x14ac:dyDescent="0.25">
      <c r="W212" s="85">
        <f t="shared" si="6"/>
        <v>5.75</v>
      </c>
    </row>
    <row r="213" spans="23:23" x14ac:dyDescent="0.25">
      <c r="W213" s="85">
        <f t="shared" si="6"/>
        <v>6</v>
      </c>
    </row>
    <row r="214" spans="23:23" x14ac:dyDescent="0.25">
      <c r="W214" s="85">
        <f t="shared" si="6"/>
        <v>6.25</v>
      </c>
    </row>
    <row r="215" spans="23:23" x14ac:dyDescent="0.25">
      <c r="W215" s="85">
        <f t="shared" si="6"/>
        <v>6.5</v>
      </c>
    </row>
    <row r="216" spans="23:23" x14ac:dyDescent="0.25">
      <c r="W216" s="85">
        <f t="shared" si="6"/>
        <v>6.75</v>
      </c>
    </row>
    <row r="217" spans="23:23" x14ac:dyDescent="0.25">
      <c r="W217" s="85">
        <f t="shared" si="6"/>
        <v>7</v>
      </c>
    </row>
    <row r="218" spans="23:23" x14ac:dyDescent="0.25">
      <c r="W218" s="85">
        <f t="shared" si="6"/>
        <v>7.25</v>
      </c>
    </row>
    <row r="219" spans="23:23" x14ac:dyDescent="0.25">
      <c r="W219" s="85">
        <f t="shared" si="6"/>
        <v>7.5</v>
      </c>
    </row>
    <row r="220" spans="23:23" x14ac:dyDescent="0.25">
      <c r="W220" s="85">
        <f t="shared" si="6"/>
        <v>7.75</v>
      </c>
    </row>
    <row r="221" spans="23:23" x14ac:dyDescent="0.25">
      <c r="W221" s="85">
        <f t="shared" si="6"/>
        <v>8</v>
      </c>
    </row>
    <row r="222" spans="23:23" x14ac:dyDescent="0.25">
      <c r="W222" s="85">
        <f t="shared" si="6"/>
        <v>8.25</v>
      </c>
    </row>
    <row r="223" spans="23:23" x14ac:dyDescent="0.25">
      <c r="W223" s="85">
        <f t="shared" si="6"/>
        <v>8.5</v>
      </c>
    </row>
    <row r="224" spans="23:23" x14ac:dyDescent="0.25">
      <c r="W224" s="85">
        <f t="shared" si="6"/>
        <v>8.75</v>
      </c>
    </row>
    <row r="225" spans="23:23" x14ac:dyDescent="0.25">
      <c r="W225" s="85">
        <f t="shared" si="6"/>
        <v>9</v>
      </c>
    </row>
    <row r="226" spans="23:23" x14ac:dyDescent="0.25">
      <c r="W226" s="85">
        <f t="shared" si="6"/>
        <v>9.25</v>
      </c>
    </row>
    <row r="227" spans="23:23" x14ac:dyDescent="0.25">
      <c r="W227" s="85">
        <f t="shared" si="6"/>
        <v>9.5</v>
      </c>
    </row>
    <row r="228" spans="23:23" x14ac:dyDescent="0.25">
      <c r="W228" s="85">
        <f t="shared" si="6"/>
        <v>9.75</v>
      </c>
    </row>
    <row r="229" spans="23:23" x14ac:dyDescent="0.25">
      <c r="W229" s="85">
        <f t="shared" si="6"/>
        <v>10</v>
      </c>
    </row>
    <row r="230" spans="23:23" x14ac:dyDescent="0.25">
      <c r="W230" s="85"/>
    </row>
  </sheetData>
  <conditionalFormatting sqref="G20:J20">
    <cfRule type="top10" dxfId="0" priority="2" rank="1"/>
  </conditionalFormatting>
  <conditionalFormatting sqref="F20:J20">
    <cfRule type="colorScale" priority="1">
      <colorScale>
        <cfvo type="min"/>
        <cfvo type="percentile" val="50"/>
        <cfvo type="max"/>
        <color rgb="FFF8696B"/>
        <color rgb="FFFFEB84"/>
        <color rgb="FF63BE7B"/>
      </colorScale>
    </cfRule>
  </conditionalFormatting>
  <hyperlinks>
    <hyperlink ref="G1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Introduction</vt:lpstr>
      <vt:lpstr>User Input Worksheet</vt:lpstr>
      <vt:lpstr>Results</vt:lpstr>
      <vt:lpstr>Background Information</vt:lpstr>
      <vt:lpstr>Introduction!Print_Area</vt:lpstr>
      <vt:lpstr>'User Input Worksheet'!Print_Area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GTonsor</dc:creator>
  <cp:lastModifiedBy>GTonsor</cp:lastModifiedBy>
  <dcterms:created xsi:type="dcterms:W3CDTF">2020-07-29T20:06:50Z</dcterms:created>
  <dcterms:modified xsi:type="dcterms:W3CDTF">2023-05-09T21:36:32Z</dcterms:modified>
</cp:coreProperties>
</file>