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robinreid\Documents\Decision Tool Updates\Silage\"/>
    </mc:Choice>
  </mc:AlternateContent>
  <xr:revisionPtr revIDLastSave="0" documentId="13_ncr:1_{B4ACABDB-4D71-4956-8432-00F91704C01E}" xr6:coauthVersionLast="34" xr6:coauthVersionMax="34" xr10:uidLastSave="{00000000-0000-0000-0000-000000000000}"/>
  <bookViews>
    <workbookView xWindow="0" yWindow="0" windowWidth="20490" windowHeight="6555" xr2:uid="{00000000-000D-0000-FFFF-FFFF00000000}"/>
  </bookViews>
  <sheets>
    <sheet name="Owner Perspective" sheetId="1" r:id="rId1"/>
    <sheet name="Buyer Perspective" sheetId="2" r:id="rId2"/>
    <sheet name="HIDDEN" sheetId="4" state="hidden" r:id="rId3"/>
  </sheets>
  <definedNames>
    <definedName name="solver_adj" localSheetId="1" hidden="1">'Buyer Perspective'!#REF!</definedName>
    <definedName name="solver_adj" localSheetId="2" hidden="1">HIDDEN!#REF!</definedName>
    <definedName name="solver_cvg" localSheetId="1" hidden="1">0.0001</definedName>
    <definedName name="solver_cvg" localSheetId="2" hidden="1">0.0001</definedName>
    <definedName name="solver_drv" localSheetId="1" hidden="1">2</definedName>
    <definedName name="solver_drv" localSheetId="2" hidden="1">1</definedName>
    <definedName name="solver_eng" localSheetId="1" hidden="1">1</definedName>
    <definedName name="solver_eng" localSheetId="2" hidden="1">2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lhs1" localSheetId="2" hidden="1">HIDDEN!#REF!</definedName>
    <definedName name="solver_lhs2" localSheetId="2" hidden="1">HIDDEN!#REF!</definedName>
    <definedName name="solver_lhs3" localSheetId="2" hidden="1">HIDDEN!#REF!</definedName>
    <definedName name="solver_lhs4" localSheetId="2" hidden="1">HIDDEN!#REF!</definedName>
    <definedName name="solver_lhs5" localSheetId="2" hidden="1">HIDDEN!#REF!</definedName>
    <definedName name="solver_lhs6" localSheetId="2" hidden="1">HIDDEN!#REF!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1</definedName>
    <definedName name="solver_neg" localSheetId="2" hidden="1">1</definedName>
    <definedName name="solver_nod" localSheetId="1" hidden="1">2147483647</definedName>
    <definedName name="solver_nod" localSheetId="2" hidden="1">2147483647</definedName>
    <definedName name="solver_num" localSheetId="1" hidden="1">0</definedName>
    <definedName name="solver_num" localSheetId="2" hidden="1">6</definedName>
    <definedName name="solver_nwt" localSheetId="1" hidden="1">1</definedName>
    <definedName name="solver_nwt" localSheetId="2" hidden="1">1</definedName>
    <definedName name="solver_opt" localSheetId="1" hidden="1">'Buyer Perspective'!#REF!</definedName>
    <definedName name="solver_opt" localSheetId="2" hidden="1">HIDDEN!#REF!</definedName>
    <definedName name="solver_pre" localSheetId="1" hidden="1">0.000001</definedName>
    <definedName name="solver_pre" localSheetId="2" hidden="1">0.000001</definedName>
    <definedName name="solver_rbv" localSheetId="1" hidden="1">2</definedName>
    <definedName name="solver_rbv" localSheetId="2" hidden="1">1</definedName>
    <definedName name="solver_rel1" localSheetId="2" hidden="1">3</definedName>
    <definedName name="solver_rel2" localSheetId="2" hidden="1">3</definedName>
    <definedName name="solver_rel3" localSheetId="2" hidden="1">1</definedName>
    <definedName name="solver_rel4" localSheetId="2" hidden="1">1</definedName>
    <definedName name="solver_rel5" localSheetId="2" hidden="1">1</definedName>
    <definedName name="solver_rel6" localSheetId="2" hidden="1">1</definedName>
    <definedName name="solver_rhs1" localSheetId="2" hidden="1">HIDDEN!#REF!</definedName>
    <definedName name="solver_rhs2" localSheetId="2" hidden="1">HIDDEN!#REF!</definedName>
    <definedName name="solver_rhs3" localSheetId="2" hidden="1">HIDDEN!#REF!</definedName>
    <definedName name="solver_rhs4" localSheetId="2" hidden="1">HIDDEN!#REF!</definedName>
    <definedName name="solver_rhs5" localSheetId="2" hidden="1">HIDDEN!#REF!</definedName>
    <definedName name="solver_rhs6" localSheetId="2" hidden="1">HIDDEN!#REF!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2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0.01</definedName>
    <definedName name="solver_tol" localSheetId="2" hidden="1">0.01</definedName>
    <definedName name="solver_typ" localSheetId="1" hidden="1">3</definedName>
    <definedName name="solver_typ" localSheetId="2" hidden="1">2</definedName>
    <definedName name="solver_val" localSheetId="1" hidden="1">490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 s="1"/>
  <c r="B37" i="1" l="1"/>
  <c r="B24" i="2" l="1"/>
  <c r="B11" i="1" l="1"/>
  <c r="E6" i="4" l="1" a="1"/>
  <c r="F6" i="4" s="1"/>
  <c r="E7" i="4" l="1"/>
  <c r="E6" i="4"/>
  <c r="F7" i="4"/>
  <c r="E9" i="4" l="1" a="1"/>
  <c r="B13" i="1"/>
  <c r="B6" i="2" l="1"/>
  <c r="F9" i="4"/>
  <c r="E9" i="4"/>
  <c r="F10" i="4"/>
  <c r="E10" i="4"/>
  <c r="D22" i="1"/>
  <c r="E22" i="1" s="1"/>
  <c r="D19" i="1"/>
  <c r="D20" i="1"/>
  <c r="E20" i="1" s="1"/>
  <c r="C20" i="2" l="1"/>
  <c r="D25" i="1"/>
  <c r="B30" i="2" l="1"/>
  <c r="B12" i="2" l="1"/>
  <c r="B15" i="2" s="1"/>
  <c r="B16" i="2" l="1"/>
  <c r="B16" i="1"/>
  <c r="B28" i="1" s="1"/>
  <c r="C31" i="1" s="1"/>
  <c r="E19" i="1"/>
  <c r="H6" i="4" l="1" a="1"/>
  <c r="H7" i="4" s="1"/>
  <c r="C33" i="1"/>
  <c r="C32" i="1"/>
  <c r="F32" i="1"/>
  <c r="F33" i="1"/>
  <c r="F31" i="1"/>
  <c r="E25" i="1"/>
  <c r="H6" i="4" l="1"/>
  <c r="H9" i="4" s="1" a="1"/>
  <c r="H9" i="4" s="1"/>
  <c r="F34" i="1"/>
  <c r="B39" i="1" s="1"/>
  <c r="C21" i="2"/>
  <c r="C23" i="2"/>
  <c r="B8" i="2"/>
  <c r="C22" i="2"/>
  <c r="B38" i="1"/>
  <c r="C31" i="2" l="1"/>
  <c r="N7" i="2"/>
  <c r="O7" i="2" s="1"/>
  <c r="H10" i="4"/>
  <c r="B41" i="1"/>
  <c r="B42" i="1" s="1"/>
  <c r="C24" i="2"/>
  <c r="C30" i="2" s="1"/>
  <c r="P7" i="2" l="1"/>
  <c r="N8" i="2"/>
  <c r="O8" i="2" s="1"/>
  <c r="P8" i="2" l="1"/>
  <c r="P9" i="2" s="1"/>
  <c r="B28" i="2" s="1"/>
  <c r="O9" i="2"/>
  <c r="B29" i="2" l="1"/>
  <c r="B32" i="2" s="1"/>
  <c r="C28" i="2"/>
  <c r="C29" i="2"/>
  <c r="C32" i="2" l="1"/>
</calcChain>
</file>

<file path=xl/sharedStrings.xml><?xml version="1.0" encoding="utf-8"?>
<sst xmlns="http://schemas.openxmlformats.org/spreadsheetml/2006/main" count="186" uniqueCount="153">
  <si>
    <t>Valuing Corn Silage</t>
  </si>
  <si>
    <t>Drying</t>
  </si>
  <si>
    <t>Fertilizer Value of Lost Stover</t>
  </si>
  <si>
    <t>Nitrogen</t>
  </si>
  <si>
    <t>Phosphorus</t>
  </si>
  <si>
    <t>Potassium</t>
  </si>
  <si>
    <t>Percent to Account for</t>
  </si>
  <si>
    <t>Value</t>
  </si>
  <si>
    <t>Per Acre</t>
  </si>
  <si>
    <t xml:space="preserve">Grain Yield </t>
  </si>
  <si>
    <t>Silage Yield at 100% DM</t>
  </si>
  <si>
    <t>Silage Yield at Harvested Moisture</t>
  </si>
  <si>
    <t>Harvesting Costs for Grain</t>
  </si>
  <si>
    <t>Chopping</t>
  </si>
  <si>
    <t>Filling Silo</t>
  </si>
  <si>
    <t>Hauling</t>
  </si>
  <si>
    <t>Per Ton</t>
  </si>
  <si>
    <t>Total Harvest Costs</t>
  </si>
  <si>
    <t>Storage Loss</t>
  </si>
  <si>
    <t>Dry Matter</t>
  </si>
  <si>
    <t>TDN</t>
  </si>
  <si>
    <t>Price</t>
  </si>
  <si>
    <t>Unit</t>
  </si>
  <si>
    <t>ton</t>
  </si>
  <si>
    <t>bushel</t>
  </si>
  <si>
    <t>Total</t>
  </si>
  <si>
    <t>Item</t>
  </si>
  <si>
    <t>Notes</t>
  </si>
  <si>
    <t>Stover Dry Matter Yield</t>
  </si>
  <si>
    <t>Break-even Results</t>
  </si>
  <si>
    <t>Value of Stover as fertilizer</t>
  </si>
  <si>
    <t>Silage Value to Livestock Owner</t>
  </si>
  <si>
    <t>Other</t>
  </si>
  <si>
    <t>Alfalfa-mid bloom</t>
  </si>
  <si>
    <t>Grain Harvest Costs</t>
  </si>
  <si>
    <t>If silage price was lower, the crop would  be more profitable to sell as grain</t>
  </si>
  <si>
    <t>Value of Silage to Livestock Owner (buyer)</t>
  </si>
  <si>
    <t>Breakeven to sell crop as silage, standing in field</t>
  </si>
  <si>
    <t>Grain Price</t>
  </si>
  <si>
    <t>Pounds of nutrient per ton of stover</t>
  </si>
  <si>
    <t>Lbs / acre of nutrient removed in stover</t>
  </si>
  <si>
    <t>Fertilizer value per acre</t>
  </si>
  <si>
    <t>Current fertilizer price per pound</t>
  </si>
  <si>
    <t xml:space="preserve">  bu/acre</t>
  </si>
  <si>
    <t xml:space="preserve">  pounds/acre</t>
  </si>
  <si>
    <t xml:space="preserve">  per bushel</t>
  </si>
  <si>
    <t xml:space="preserve">  tons per acre</t>
  </si>
  <si>
    <t xml:space="preserve">  per acre</t>
  </si>
  <si>
    <t xml:space="preserve">  per ton</t>
  </si>
  <si>
    <t>Value of Harvested Grain</t>
  </si>
  <si>
    <t xml:space="preserve">  DM tons/acre</t>
  </si>
  <si>
    <t>The Breakeven Point between Grain and Silage Harvest (Owner's Perspective)</t>
  </si>
  <si>
    <t>Combine (base charge)</t>
  </si>
  <si>
    <t>Combine (extra yield charge)</t>
  </si>
  <si>
    <t>Threshold yield for extra charge</t>
  </si>
  <si>
    <t xml:space="preserve">  bu / a</t>
  </si>
  <si>
    <t>Cost Per Acre</t>
  </si>
  <si>
    <t>Cost Per Bushel</t>
  </si>
  <si>
    <t>-----</t>
  </si>
  <si>
    <t>Total Harvest Cost</t>
  </si>
  <si>
    <t>Other Adjustments to Value</t>
  </si>
  <si>
    <t>Can use custom rates or own costs</t>
  </si>
  <si>
    <t xml:space="preserve"> "</t>
  </si>
  <si>
    <t>Drying target moisture %</t>
  </si>
  <si>
    <t>Target moisture content for storage</t>
  </si>
  <si>
    <t>Grain Moisture % at grain harvest</t>
  </si>
  <si>
    <t>Used to calculate grain drying costs below</t>
  </si>
  <si>
    <t>Grain's Share of Silage Weight</t>
  </si>
  <si>
    <t>Grain Weight in Silage</t>
  </si>
  <si>
    <t xml:space="preserve">  pct moisture</t>
  </si>
  <si>
    <t xml:space="preserve">  pct of total</t>
  </si>
  <si>
    <t xml:space="preserve">  pct Dry Matter</t>
  </si>
  <si>
    <t>DM Content of Silage at Harvest</t>
  </si>
  <si>
    <t>Nutrient composition of silage</t>
  </si>
  <si>
    <t>CP</t>
  </si>
  <si>
    <t>Silage yield calculations</t>
  </si>
  <si>
    <t xml:space="preserve">A-inv  </t>
  </si>
  <si>
    <t xml:space="preserve">X  </t>
  </si>
  <si>
    <t xml:space="preserve">A  </t>
  </si>
  <si>
    <t xml:space="preserve">B  </t>
  </si>
  <si>
    <t>using 2 unknowns (amounts of Feed 1 and Feed 2)</t>
  </si>
  <si>
    <t>Solve system of 2 equations (energy content and protein content)</t>
  </si>
  <si>
    <t>Alternative Ration with TDN and CP equivalent to a ton of silage</t>
  </si>
  <si>
    <t>Ingredient</t>
  </si>
  <si>
    <t xml:space="preserve">TOTALS  </t>
  </si>
  <si>
    <t xml:space="preserve">Silage Harvest Costs   </t>
  </si>
  <si>
    <t>Less harvesting costs</t>
  </si>
  <si>
    <t>Energy content (TDN), DM basis</t>
  </si>
  <si>
    <t>TDN provided in ton of silage</t>
  </si>
  <si>
    <t>CP provided in ton of silage</t>
  </si>
  <si>
    <t xml:space="preserve">  lbs of energy, DM basis</t>
  </si>
  <si>
    <t xml:space="preserve">  lbs of crude protein, DM basis</t>
  </si>
  <si>
    <t xml:space="preserve">  Units / Notes</t>
  </si>
  <si>
    <t xml:space="preserve">  based on forage testing or extension info</t>
  </si>
  <si>
    <t>Dry Matter pct in silage</t>
  </si>
  <si>
    <t>Crude Protein content, DM basis</t>
  </si>
  <si>
    <t>Corn grain, steam flaked</t>
  </si>
  <si>
    <t>Ingredient Cost</t>
  </si>
  <si>
    <t>Lbs used, as-fed</t>
  </si>
  <si>
    <t>Lbs used,   DM basis</t>
  </si>
  <si>
    <t>Lbs / unit</t>
  </si>
  <si>
    <t>Recover nutrient value lost in stover</t>
  </si>
  <si>
    <t>Storage Loss of Silage</t>
  </si>
  <si>
    <t>Harvesting Cost of Silage</t>
  </si>
  <si>
    <t xml:space="preserve">  entered on previous page</t>
  </si>
  <si>
    <t>Alternative Ration Cost</t>
  </si>
  <si>
    <t>Silage Yield at 100% DM   x  (1 - Percent grain in silage)</t>
  </si>
  <si>
    <t>Nutrient removal when harvesting corn stover, Iowa State University</t>
  </si>
  <si>
    <t>Corn Stover Removal:  Nutrient Value of Stover and Impacts on Soil Properties, Univ. of Nebraska</t>
  </si>
  <si>
    <t>REFERENCES:</t>
  </si>
  <si>
    <t>Corn stover:  what is it worth?  Michigan State University</t>
  </si>
  <si>
    <t>KSU Custom Rates Survey, 2018 Estimates</t>
  </si>
  <si>
    <t>CHECK FOR CUSTOM RATES:</t>
  </si>
  <si>
    <t>A General Guide for Crop Nutrient and Limestone Recommendations in Iowa, Iowa St. Univ.</t>
  </si>
  <si>
    <t>Grain Weight per Bushel</t>
  </si>
  <si>
    <t xml:space="preserve">  pounds </t>
  </si>
  <si>
    <t>Standard is 56 lbs/bu for corn and grain sorghum</t>
  </si>
  <si>
    <t>Uses grain yield and bushel weight</t>
  </si>
  <si>
    <t>Also called HARVEST INDEX</t>
  </si>
  <si>
    <t>User may also override formula and enter silage yield directly</t>
  </si>
  <si>
    <t>Grain Weight in Silage/Grain's Share of Silage Weight, expressed in tons</t>
  </si>
  <si>
    <t>Silage yield at harvest</t>
  </si>
  <si>
    <t xml:space="preserve">  pct of original weight</t>
  </si>
  <si>
    <t xml:space="preserve">  to obtain TDN and CP in ton of silage</t>
  </si>
  <si>
    <t>Silage yield after shrinkage</t>
  </si>
  <si>
    <t>Harvest_index: a predictor of corn stover yield, Michigan State Univ.</t>
  </si>
  <si>
    <t>Sorghum Harvest Index in Relation to Plant Size, Environment, and Cultivar</t>
  </si>
  <si>
    <t>Price Paid for Silage Standing in Field</t>
  </si>
  <si>
    <t xml:space="preserve">Can use own costs or custom rates; see link to </t>
  </si>
  <si>
    <t>KSU Custom Rates on previous page</t>
  </si>
  <si>
    <t>Nutrient</t>
  </si>
  <si>
    <t>Market value of grain (= grain price x grain yield)</t>
  </si>
  <si>
    <t>Any other costs or revenue associated with grain crop</t>
  </si>
  <si>
    <r>
      <t xml:space="preserve">  Breakeven price from buyer's perspective                                 </t>
    </r>
    <r>
      <rPr>
        <b/>
        <i/>
        <sz val="9"/>
        <color theme="1"/>
        <rFont val="Calibri"/>
        <family val="2"/>
        <scheme val="minor"/>
      </rPr>
      <t>A higher silage price makes alternative ration  more economical</t>
    </r>
  </si>
  <si>
    <t xml:space="preserve">  Pct silage loss  x  alternative ration cost</t>
  </si>
  <si>
    <t xml:space="preserve">   Any additional cost adjustments</t>
  </si>
  <si>
    <t>Disclaimer:  the alternative ration calculator uses only two feedstuffs and only balances for energy (TDN) and crude protein.  This may not be a least-cost formulation.  In addition, other nutrients (minerals, vitamins, etc.) are necessary in a ration, and a livestock nutritionist should be consulted if there are questions whether a ration is safe and sensible.</t>
  </si>
  <si>
    <t>Estimating corn yields using yield components, Iowa State Univ.</t>
  </si>
  <si>
    <t>Estimating corn yield potential, Kansas State University</t>
  </si>
  <si>
    <t>Method for estimating sorghum yields, Kansas State University</t>
  </si>
  <si>
    <t>Estimating seed counts in sorghum heads for making yield projections, KSU</t>
  </si>
  <si>
    <t>Estimating potential corn yield, University of Nebraska</t>
  </si>
  <si>
    <t>Silage Yield at Harvested Moisture  x  Percent DM of Silage at Harvest</t>
  </si>
  <si>
    <t>Preventing Silage Storage Losses, Univ. of Wisconsin</t>
  </si>
  <si>
    <t>Silage - KSU Animal Sciences and Industry</t>
  </si>
  <si>
    <t>KSU Forage Facts Notebook</t>
  </si>
  <si>
    <t>Minimizing Shrink Loss in Forage Storage Methods, South Dakota State Univ.</t>
  </si>
  <si>
    <t>Shrinking Your Forage Shrink, Michigan State Univ.</t>
  </si>
  <si>
    <t>Silage quality and feeding, University of Wisconsin</t>
  </si>
  <si>
    <t>Nutritional Composition of Feedstuffs for Beef Cattle, KSU</t>
  </si>
  <si>
    <t>Note:  if the user has an alternative ration cost calculated elsewhere, it may be entered in cell B28, which otherwise will contain the alternative ration cost determined above.</t>
  </si>
  <si>
    <t>Other Cost Adjustment</t>
  </si>
  <si>
    <t>Cost to reduce grain moisture content to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</si>
</sst>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&quot;$&quot;#,##0.0000"/>
    <numFmt numFmtId="167" formatCode="0.0"/>
    <numFmt numFmtId="168" formatCode="0.0000%"/>
    <numFmt numFmtId="169" formatCode="0.0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12">
    <xf numFmtId="0" fontId="0" fillId="0" borderId="0" xfId="0"/>
    <xf numFmtId="164" fontId="0" fillId="0" borderId="0" xfId="0" applyNumberFormat="1"/>
    <xf numFmtId="0" fontId="0" fillId="0" borderId="1" xfId="0" applyBorder="1"/>
    <xf numFmtId="3" fontId="1" fillId="2" borderId="3" xfId="0" applyNumberFormat="1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0" xfId="0" applyBorder="1"/>
    <xf numFmtId="165" fontId="2" fillId="0" borderId="0" xfId="0" applyNumberFormat="1" applyFont="1" applyBorder="1"/>
    <xf numFmtId="8" fontId="0" fillId="0" borderId="9" xfId="0" applyNumberFormat="1" applyBorder="1" applyAlignment="1">
      <alignment horizontal="right"/>
    </xf>
    <xf numFmtId="0" fontId="0" fillId="0" borderId="9" xfId="0" applyBorder="1"/>
    <xf numFmtId="8" fontId="0" fillId="0" borderId="9" xfId="0" applyNumberFormat="1" applyBorder="1" applyAlignment="1">
      <alignment horizontal="left"/>
    </xf>
    <xf numFmtId="4" fontId="2" fillId="0" borderId="0" xfId="0" applyNumberFormat="1" applyFont="1" applyBorder="1"/>
    <xf numFmtId="0" fontId="0" fillId="0" borderId="9" xfId="0" applyBorder="1" applyAlignment="1">
      <alignment horizontal="right"/>
    </xf>
    <xf numFmtId="0" fontId="0" fillId="0" borderId="7" xfId="0" applyBorder="1"/>
    <xf numFmtId="164" fontId="0" fillId="0" borderId="1" xfId="0" applyNumberFormat="1" applyBorder="1"/>
    <xf numFmtId="0" fontId="0" fillId="0" borderId="8" xfId="0" applyBorder="1"/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/>
    <xf numFmtId="2" fontId="0" fillId="0" borderId="0" xfId="0" applyNumberFormat="1" applyBorder="1"/>
    <xf numFmtId="2" fontId="1" fillId="0" borderId="0" xfId="0" applyNumberFormat="1" applyFont="1" applyFill="1" applyBorder="1"/>
    <xf numFmtId="164" fontId="1" fillId="0" borderId="9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8" fontId="0" fillId="0" borderId="9" xfId="0" applyNumberFormat="1" applyFill="1" applyBorder="1" applyAlignment="1">
      <alignment horizontal="right"/>
    </xf>
    <xf numFmtId="0" fontId="7" fillId="0" borderId="9" xfId="0" applyFont="1" applyBorder="1"/>
    <xf numFmtId="164" fontId="7" fillId="3" borderId="0" xfId="0" applyNumberFormat="1" applyFont="1" applyFill="1" applyBorder="1"/>
    <xf numFmtId="0" fontId="7" fillId="3" borderId="0" xfId="0" applyFont="1" applyFill="1" applyBorder="1"/>
    <xf numFmtId="0" fontId="0" fillId="3" borderId="0" xfId="0" applyFill="1" applyBorder="1"/>
    <xf numFmtId="0" fontId="8" fillId="3" borderId="0" xfId="0" applyFont="1" applyFill="1" applyBorder="1"/>
    <xf numFmtId="0" fontId="9" fillId="3" borderId="0" xfId="0" applyFont="1" applyFill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0" fillId="0" borderId="0" xfId="0" quotePrefix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8" xfId="0" applyFill="1" applyBorder="1"/>
    <xf numFmtId="0" fontId="0" fillId="4" borderId="0" xfId="0" applyFill="1" applyBorder="1"/>
    <xf numFmtId="0" fontId="0" fillId="4" borderId="10" xfId="0" applyFill="1" applyBorder="1"/>
    <xf numFmtId="8" fontId="0" fillId="0" borderId="7" xfId="0" applyNumberFormat="1" applyBorder="1"/>
    <xf numFmtId="165" fontId="2" fillId="0" borderId="1" xfId="0" applyNumberFormat="1" applyFont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0" borderId="0" xfId="0" applyAlignment="1">
      <alignment horizontal="left"/>
    </xf>
    <xf numFmtId="8" fontId="3" fillId="3" borderId="12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8" fontId="3" fillId="2" borderId="9" xfId="0" applyNumberFormat="1" applyFont="1" applyFill="1" applyBorder="1" applyAlignment="1">
      <alignment horizontal="right"/>
    </xf>
    <xf numFmtId="164" fontId="2" fillId="3" borderId="13" xfId="0" applyNumberFormat="1" applyFont="1" applyFill="1" applyBorder="1" applyAlignment="1">
      <alignment horizontal="center"/>
    </xf>
    <xf numFmtId="8" fontId="3" fillId="0" borderId="0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/>
    <xf numFmtId="0" fontId="0" fillId="2" borderId="0" xfId="0" quotePrefix="1" applyFill="1" applyBorder="1" applyAlignment="1"/>
    <xf numFmtId="0" fontId="0" fillId="2" borderId="0" xfId="0" applyFill="1" applyAlignment="1"/>
    <xf numFmtId="0" fontId="0" fillId="2" borderId="10" xfId="0" applyFill="1" applyBorder="1" applyAlignment="1"/>
    <xf numFmtId="164" fontId="4" fillId="0" borderId="0" xfId="0" quotePrefix="1" applyNumberFormat="1" applyFont="1" applyBorder="1" applyAlignment="1">
      <alignment horizontal="center"/>
    </xf>
    <xf numFmtId="164" fontId="1" fillId="0" borderId="0" xfId="0" quotePrefix="1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4" xfId="0" quotePrefix="1" applyNumberFormat="1" applyFont="1" applyBorder="1" applyAlignment="1">
      <alignment horizontal="center"/>
    </xf>
    <xf numFmtId="4" fontId="1" fillId="0" borderId="0" xfId="0" applyNumberFormat="1" applyFont="1" applyBorder="1"/>
    <xf numFmtId="0" fontId="3" fillId="3" borderId="12" xfId="0" applyFont="1" applyFill="1" applyBorder="1" applyAlignment="1">
      <alignment horizontal="left"/>
    </xf>
    <xf numFmtId="8" fontId="1" fillId="0" borderId="9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9" xfId="0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3" fillId="0" borderId="0" xfId="0" applyFont="1"/>
    <xf numFmtId="0" fontId="0" fillId="0" borderId="19" xfId="0" applyBorder="1"/>
    <xf numFmtId="0" fontId="0" fillId="0" borderId="20" xfId="0" applyBorder="1"/>
    <xf numFmtId="0" fontId="0" fillId="0" borderId="18" xfId="0" applyBorder="1"/>
    <xf numFmtId="169" fontId="0" fillId="0" borderId="18" xfId="0" applyNumberFormat="1" applyBorder="1"/>
    <xf numFmtId="169" fontId="0" fillId="0" borderId="19" xfId="0" applyNumberFormat="1" applyBorder="1"/>
    <xf numFmtId="167" fontId="0" fillId="0" borderId="20" xfId="0" applyNumberFormat="1" applyBorder="1"/>
    <xf numFmtId="8" fontId="7" fillId="0" borderId="9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1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7" fontId="1" fillId="0" borderId="22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7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17" xfId="0" applyBorder="1"/>
    <xf numFmtId="0" fontId="3" fillId="5" borderId="5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8" fontId="1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164" fontId="9" fillId="5" borderId="3" xfId="0" applyNumberFormat="1" applyFont="1" applyFill="1" applyBorder="1" applyAlignment="1">
      <alignment horizontal="center"/>
    </xf>
    <xf numFmtId="167" fontId="0" fillId="0" borderId="0" xfId="0" applyNumberFormat="1" applyBorder="1"/>
    <xf numFmtId="0" fontId="0" fillId="0" borderId="9" xfId="0" applyFont="1" applyBorder="1" applyAlignment="1">
      <alignment horizontal="right"/>
    </xf>
    <xf numFmtId="0" fontId="0" fillId="0" borderId="29" xfId="0" applyBorder="1" applyAlignment="1">
      <alignment horizontal="right"/>
    </xf>
    <xf numFmtId="0" fontId="5" fillId="4" borderId="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166" fontId="0" fillId="4" borderId="0" xfId="0" applyNumberFormat="1" applyFill="1" applyBorder="1" applyAlignment="1">
      <alignment horizontal="left"/>
    </xf>
    <xf numFmtId="164" fontId="0" fillId="0" borderId="10" xfId="0" applyNumberFormat="1" applyFill="1" applyBorder="1"/>
    <xf numFmtId="164" fontId="0" fillId="0" borderId="0" xfId="0" applyNumberFormat="1" applyFont="1" applyFill="1" applyBorder="1"/>
    <xf numFmtId="0" fontId="0" fillId="0" borderId="0" xfId="0" applyBorder="1" applyAlignment="1">
      <alignment horizontal="right"/>
    </xf>
    <xf numFmtId="0" fontId="0" fillId="4" borderId="0" xfId="0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2" fontId="0" fillId="0" borderId="19" xfId="0" applyNumberFormat="1" applyBorder="1"/>
    <xf numFmtId="0" fontId="2" fillId="0" borderId="0" xfId="0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4" fontId="1" fillId="0" borderId="0" xfId="0" applyNumberFormat="1" applyFont="1" applyBorder="1" applyProtection="1">
      <protection locked="0"/>
    </xf>
    <xf numFmtId="7" fontId="2" fillId="0" borderId="0" xfId="1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5" fontId="2" fillId="0" borderId="0" xfId="2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9" fontId="2" fillId="0" borderId="0" xfId="0" applyNumberFormat="1" applyFont="1" applyBorder="1" applyAlignment="1" applyProtection="1">
      <alignment horizontal="center"/>
      <protection locked="0"/>
    </xf>
    <xf numFmtId="9" fontId="2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3" fontId="13" fillId="0" borderId="0" xfId="3" applyNumberFormat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0" fontId="13" fillId="0" borderId="0" xfId="3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Protection="1">
      <protection locked="0"/>
    </xf>
    <xf numFmtId="0" fontId="1" fillId="0" borderId="0" xfId="3" applyFont="1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13" fillId="0" borderId="0" xfId="3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164" fontId="0" fillId="0" borderId="0" xfId="0" applyNumberFormat="1" applyProtection="1">
      <protection locked="0"/>
    </xf>
    <xf numFmtId="0" fontId="13" fillId="0" borderId="0" xfId="3" applyProtection="1">
      <protection locked="0"/>
    </xf>
    <xf numFmtId="9" fontId="2" fillId="0" borderId="0" xfId="0" applyNumberFormat="1" applyFont="1" applyFill="1" applyBorder="1" applyProtection="1"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0" borderId="28" xfId="0" applyNumberFormat="1" applyFont="1" applyBorder="1" applyAlignment="1" applyProtection="1">
      <alignment horizontal="center"/>
      <protection locked="0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65" fontId="2" fillId="0" borderId="0" xfId="0" applyNumberFormat="1" applyFont="1" applyBorder="1" applyAlignment="1" applyProtection="1">
      <alignment horizontal="center"/>
      <protection locked="0"/>
    </xf>
    <xf numFmtId="168" fontId="0" fillId="0" borderId="0" xfId="0" applyNumberFormat="1" applyProtection="1">
      <protection locked="0"/>
    </xf>
    <xf numFmtId="0" fontId="13" fillId="0" borderId="0" xfId="3" applyBorder="1" applyProtection="1">
      <protection locked="0"/>
    </xf>
    <xf numFmtId="0" fontId="15" fillId="0" borderId="0" xfId="0" applyFont="1" applyBorder="1" applyProtection="1">
      <protection locked="0"/>
    </xf>
    <xf numFmtId="165" fontId="0" fillId="0" borderId="0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/>
    <xf numFmtId="0" fontId="0" fillId="2" borderId="17" xfId="0" applyFill="1" applyBorder="1" applyAlignment="1"/>
    <xf numFmtId="0" fontId="0" fillId="4" borderId="0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2" borderId="0" xfId="0" quotePrefix="1" applyFill="1" applyBorder="1" applyAlignment="1"/>
    <xf numFmtId="0" fontId="0" fillId="2" borderId="0" xfId="0" applyFill="1" applyAlignment="1"/>
    <xf numFmtId="0" fontId="0" fillId="2" borderId="10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0" xfId="0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7" fillId="5" borderId="18" xfId="0" applyFont="1" applyFill="1" applyBorder="1" applyAlignment="1">
      <alignment wrapText="1"/>
    </xf>
    <xf numFmtId="0" fontId="0" fillId="0" borderId="10" xfId="0" applyBorder="1" applyAlignment="1"/>
    <xf numFmtId="0" fontId="0" fillId="0" borderId="0" xfId="0" applyAlignment="1">
      <alignment vertical="top" wrapText="1"/>
    </xf>
    <xf numFmtId="0" fontId="0" fillId="0" borderId="0" xfId="0" applyAlignment="1"/>
    <xf numFmtId="0" fontId="5" fillId="5" borderId="5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3" fillId="5" borderId="10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5" borderId="7" xfId="0" applyFont="1" applyFill="1" applyBorder="1" applyAlignment="1">
      <alignment wrapText="1"/>
    </xf>
    <xf numFmtId="164" fontId="0" fillId="0" borderId="3" xfId="0" applyNumberFormat="1" applyFont="1" applyBorder="1" applyAlignment="1" applyProtection="1">
      <alignment horizontal="center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8E08C"/>
      <color rgb="FFEEA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manager.info/methods-valuing-corn-or-grain-sorghum-silag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manager.info/methods-valuing-corn-or-grain-sorghum-sil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19</xdr:col>
      <xdr:colOff>9524</xdr:colOff>
      <xdr:row>2</xdr:row>
      <xdr:rowOff>485776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"/>
          <a:ext cx="16506824" cy="866774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bg1"/>
              </a:solidFill>
            </a:rPr>
            <a:t>This spreadsheet</a:t>
          </a:r>
          <a:r>
            <a:rPr lang="en-US" sz="1400" b="1" baseline="0">
              <a:solidFill>
                <a:schemeClr val="bg1"/>
              </a:solidFill>
            </a:rPr>
            <a:t> compares different pricing methods for corn and grain sorghum silage.  For reference and tool assistance, see http://www.agmanager.info/methods-valuing-corn-or-grain-sorghum-silage</a:t>
          </a:r>
        </a:p>
        <a:p>
          <a:endParaRPr lang="en-US" sz="1400" b="1" baseline="0">
            <a:solidFill>
              <a:schemeClr val="bg1"/>
            </a:solidFill>
          </a:endParaRPr>
        </a:p>
        <a:p>
          <a:r>
            <a:rPr lang="en-US" sz="1400" b="1" baseline="0">
              <a:solidFill>
                <a:schemeClr val="bg1"/>
              </a:solidFill>
            </a:rPr>
            <a:t>Questions? Contact Monte Vandeveer (montev@ksu.edu, 620-275-9164)								Last Update: 7/28/2018</a:t>
          </a:r>
          <a:endParaRPr lang="en-US" sz="14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19050</xdr:rowOff>
    </xdr:from>
    <xdr:to>
      <xdr:col>16</xdr:col>
      <xdr:colOff>0</xdr:colOff>
      <xdr:row>1</xdr:row>
      <xdr:rowOff>695324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" y="19050"/>
          <a:ext cx="16144874" cy="866774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bg1"/>
              </a:solidFill>
            </a:rPr>
            <a:t>This spreadsheet</a:t>
          </a:r>
          <a:r>
            <a:rPr lang="en-US" sz="1400" b="1" baseline="0">
              <a:solidFill>
                <a:schemeClr val="bg1"/>
              </a:solidFill>
            </a:rPr>
            <a:t> compares different pricing methods for corn and grain sorghum silage.  For reference and tool assistance, http://www.agmanager.info/methods-valuing-corn-or-grain-sorghum-silage</a:t>
          </a:r>
        </a:p>
        <a:p>
          <a:endParaRPr lang="en-US" sz="1400" b="1" baseline="0">
            <a:solidFill>
              <a:schemeClr val="bg1"/>
            </a:solidFill>
          </a:endParaRPr>
        </a:p>
        <a:p>
          <a:r>
            <a:rPr lang="en-US" sz="1400" b="1" baseline="0">
              <a:solidFill>
                <a:schemeClr val="bg1"/>
              </a:solidFill>
            </a:rPr>
            <a:t>Questions?  Contact Monte Vandeveer (montev@ksu.edu, 620-275-9164)								Last Update: 7/28/2018</a:t>
          </a:r>
          <a:endParaRPr lang="en-US" sz="14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ropwatch.unl.edu/2017/estimating-corn-yield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agmanager.info/machinery/papers/2016-rates-paid-kansas-farmers-custom-work" TargetMode="External"/><Relationship Id="rId7" Type="http://schemas.openxmlformats.org/officeDocument/2006/relationships/hyperlink" Target="https://webapp.agron.ksu.edu/agr_social/eu_article.throck?article_id=1489" TargetMode="External"/><Relationship Id="rId12" Type="http://schemas.openxmlformats.org/officeDocument/2006/relationships/hyperlink" Target="https://dl.sciencesocieties.org/publications/aj/abstracts/83/3/AJ0830030603?access=0&amp;view=pdf" TargetMode="External"/><Relationship Id="rId2" Type="http://schemas.openxmlformats.org/officeDocument/2006/relationships/hyperlink" Target="https://cropwatch.unl.edu/2017/corn-stover-removal-nutrient-value-stover-and-impacts-soil-properties" TargetMode="External"/><Relationship Id="rId1" Type="http://schemas.openxmlformats.org/officeDocument/2006/relationships/hyperlink" Target="https://crops.extension.iastate.edu/nutrient-removal-when-harvesting-corn-stover-0" TargetMode="External"/><Relationship Id="rId6" Type="http://schemas.openxmlformats.org/officeDocument/2006/relationships/hyperlink" Target="https://crops.extension.iastate.edu/cropnews/2017/08/estimating-corn-yields-using-yield-components" TargetMode="External"/><Relationship Id="rId11" Type="http://schemas.openxmlformats.org/officeDocument/2006/relationships/hyperlink" Target="http://msue.anr.msu.edu/news/harvest_index_a_predictor_of_corn_stover_yield" TargetMode="External"/><Relationship Id="rId5" Type="http://schemas.openxmlformats.org/officeDocument/2006/relationships/hyperlink" Target="https://store.extension.iastate.edu/Product/5232" TargetMode="External"/><Relationship Id="rId10" Type="http://schemas.openxmlformats.org/officeDocument/2006/relationships/hyperlink" Target="https://webapp.agron.ksu.edu/agr_social/eu_article.throck?article_id=344" TargetMode="External"/><Relationship Id="rId4" Type="http://schemas.openxmlformats.org/officeDocument/2006/relationships/hyperlink" Target="http://msue.anr.msu.edu/news/corn_stover_what_is_its_worth" TargetMode="External"/><Relationship Id="rId9" Type="http://schemas.openxmlformats.org/officeDocument/2006/relationships/hyperlink" Target="https://webapp.agron.ksu.edu/agr_social/eu_article.throck?article_id=6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igrow.org/livestock/dairy/minimizing-shrink-loss-in-forage-storage-methods/" TargetMode="External"/><Relationship Id="rId7" Type="http://schemas.openxmlformats.org/officeDocument/2006/relationships/hyperlink" Target="http://corn.agronomy.wisc.edu/Silage/S006.aspx" TargetMode="External"/><Relationship Id="rId2" Type="http://schemas.openxmlformats.org/officeDocument/2006/relationships/hyperlink" Target="https://www.asi.k-state.edu/research-and-extension/forage.html" TargetMode="External"/><Relationship Id="rId1" Type="http://schemas.openxmlformats.org/officeDocument/2006/relationships/hyperlink" Target="https://www.asi.k-state.edu/research-and-extension/silage.html" TargetMode="External"/><Relationship Id="rId6" Type="http://schemas.openxmlformats.org/officeDocument/2006/relationships/hyperlink" Target="https://www.bookstore.ksre.ksu.edu/pubs/L884.pdf" TargetMode="External"/><Relationship Id="rId5" Type="http://schemas.openxmlformats.org/officeDocument/2006/relationships/hyperlink" Target="https://fyi.uwex.edu/forage/preventing-silage-storage-losses/" TargetMode="External"/><Relationship Id="rId4" Type="http://schemas.openxmlformats.org/officeDocument/2006/relationships/hyperlink" Target="http://msue.anr.msu.edu/news/shrinking_your_forage_shrink_part_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workbookViewId="0">
      <selection activeCell="B9" sqref="B9"/>
    </sheetView>
  </sheetViews>
  <sheetFormatPr defaultRowHeight="15" x14ac:dyDescent="0.25"/>
  <cols>
    <col min="1" max="1" width="32" customWidth="1"/>
    <col min="2" max="2" width="12.85546875" bestFit="1" customWidth="1"/>
    <col min="3" max="3" width="17.85546875" customWidth="1"/>
    <col min="4" max="4" width="14.28515625" customWidth="1"/>
    <col min="5" max="5" width="14.85546875" customWidth="1"/>
    <col min="6" max="6" width="13.42578125" customWidth="1"/>
    <col min="7" max="7" width="11.7109375" bestFit="1" customWidth="1"/>
    <col min="8" max="8" width="11.28515625" customWidth="1"/>
    <col min="10" max="10" width="3.7109375" customWidth="1"/>
    <col min="11" max="11" width="36.42578125" customWidth="1"/>
    <col min="12" max="12" width="10.28515625" customWidth="1"/>
  </cols>
  <sheetData>
    <row r="1" spans="1:19" x14ac:dyDescent="0.25">
      <c r="A1" t="s">
        <v>0</v>
      </c>
    </row>
    <row r="3" spans="1:19" ht="39.75" customHeight="1" thickBot="1" x14ac:dyDescent="0.3"/>
    <row r="4" spans="1:19" ht="32.25" customHeight="1" thickBot="1" x14ac:dyDescent="0.3">
      <c r="A4" s="188" t="s">
        <v>51</v>
      </c>
      <c r="B4" s="189"/>
      <c r="C4" s="189"/>
      <c r="D4" s="189"/>
      <c r="E4" s="189"/>
      <c r="F4" s="189"/>
      <c r="G4" s="189"/>
      <c r="H4" s="189"/>
      <c r="I4" s="190"/>
      <c r="K4" s="191"/>
      <c r="L4" s="191"/>
      <c r="M4" s="191"/>
      <c r="N4" s="191"/>
      <c r="O4" s="191"/>
      <c r="P4" s="191"/>
      <c r="Q4" s="191"/>
      <c r="R4" s="191"/>
      <c r="S4" s="191"/>
    </row>
    <row r="5" spans="1:19" ht="18" customHeight="1" x14ac:dyDescent="0.25">
      <c r="A5" s="67" t="s">
        <v>26</v>
      </c>
      <c r="B5" s="47" t="s">
        <v>7</v>
      </c>
      <c r="C5" s="47" t="s">
        <v>22</v>
      </c>
      <c r="D5" s="47" t="s">
        <v>27</v>
      </c>
      <c r="E5" s="47"/>
      <c r="F5" s="47"/>
      <c r="G5" s="47"/>
      <c r="H5" s="47"/>
      <c r="I5" s="48"/>
      <c r="K5" s="147" t="s">
        <v>109</v>
      </c>
      <c r="L5" s="148"/>
      <c r="M5" s="148"/>
      <c r="N5" s="148"/>
      <c r="O5" s="148"/>
      <c r="P5" s="148"/>
      <c r="Q5" s="148"/>
      <c r="R5" s="148"/>
      <c r="S5" s="148"/>
    </row>
    <row r="6" spans="1:19" ht="18" customHeight="1" x14ac:dyDescent="0.25">
      <c r="A6" s="13" t="s">
        <v>9</v>
      </c>
      <c r="B6" s="133">
        <v>40</v>
      </c>
      <c r="C6" s="7" t="s">
        <v>43</v>
      </c>
      <c r="D6" s="192"/>
      <c r="E6" s="192"/>
      <c r="F6" s="192"/>
      <c r="G6" s="192"/>
      <c r="H6" s="192"/>
      <c r="I6" s="193"/>
      <c r="K6" s="149" t="s">
        <v>137</v>
      </c>
      <c r="L6" s="150"/>
      <c r="M6" s="147"/>
      <c r="N6" s="147"/>
      <c r="O6" s="147"/>
      <c r="P6" s="147"/>
      <c r="Q6" s="147"/>
      <c r="R6" s="147"/>
      <c r="S6" s="147"/>
    </row>
    <row r="7" spans="1:19" ht="18" customHeight="1" x14ac:dyDescent="0.25">
      <c r="A7" s="13" t="s">
        <v>38</v>
      </c>
      <c r="B7" s="134">
        <v>3.5</v>
      </c>
      <c r="C7" s="7" t="s">
        <v>45</v>
      </c>
      <c r="D7" s="176"/>
      <c r="E7" s="176"/>
      <c r="F7" s="176"/>
      <c r="G7" s="176"/>
      <c r="H7" s="176"/>
      <c r="I7" s="177"/>
      <c r="K7" s="151" t="s">
        <v>138</v>
      </c>
      <c r="L7" s="150"/>
      <c r="M7" s="147"/>
      <c r="N7" s="147"/>
      <c r="O7" s="147"/>
      <c r="P7" s="147"/>
      <c r="Q7" s="147"/>
      <c r="R7" s="147"/>
      <c r="S7" s="147"/>
    </row>
    <row r="8" spans="1:19" ht="18" customHeight="1" x14ac:dyDescent="0.25">
      <c r="A8" s="68" t="s">
        <v>65</v>
      </c>
      <c r="B8" s="135">
        <v>0.155</v>
      </c>
      <c r="C8" s="40" t="s">
        <v>69</v>
      </c>
      <c r="D8" s="176" t="s">
        <v>66</v>
      </c>
      <c r="E8" s="176"/>
      <c r="F8" s="176"/>
      <c r="G8" s="176"/>
      <c r="H8" s="176"/>
      <c r="I8" s="177"/>
      <c r="K8" s="151" t="s">
        <v>141</v>
      </c>
      <c r="L8" s="150"/>
      <c r="M8" s="147"/>
      <c r="N8" s="147"/>
      <c r="O8" s="147"/>
      <c r="P8" s="147"/>
      <c r="Q8" s="147"/>
      <c r="R8" s="147"/>
      <c r="S8" s="147"/>
    </row>
    <row r="9" spans="1:19" ht="18" customHeight="1" x14ac:dyDescent="0.25">
      <c r="A9" s="115"/>
      <c r="B9" s="10"/>
      <c r="C9" s="40"/>
      <c r="D9" s="111"/>
      <c r="E9" s="111"/>
      <c r="F9" s="111"/>
      <c r="G9" s="111"/>
      <c r="H9" s="111"/>
      <c r="I9" s="112"/>
      <c r="K9" s="151" t="s">
        <v>139</v>
      </c>
      <c r="L9" s="150"/>
      <c r="M9" s="147"/>
      <c r="N9" s="147"/>
      <c r="O9" s="147"/>
      <c r="P9" s="147"/>
      <c r="Q9" s="147"/>
      <c r="R9" s="147"/>
      <c r="S9" s="147"/>
    </row>
    <row r="10" spans="1:19" ht="18" customHeight="1" x14ac:dyDescent="0.25">
      <c r="A10" s="49" t="s">
        <v>114</v>
      </c>
      <c r="B10" s="136">
        <v>56</v>
      </c>
      <c r="C10" s="40" t="s">
        <v>115</v>
      </c>
      <c r="D10" s="176" t="s">
        <v>116</v>
      </c>
      <c r="E10" s="176"/>
      <c r="F10" s="176"/>
      <c r="G10" s="176"/>
      <c r="H10" s="176"/>
      <c r="I10" s="177"/>
      <c r="K10" s="151" t="s">
        <v>140</v>
      </c>
      <c r="L10" s="150"/>
      <c r="M10" s="147"/>
      <c r="N10" s="147"/>
      <c r="O10" s="147"/>
      <c r="P10" s="147"/>
      <c r="Q10" s="147"/>
      <c r="R10" s="147"/>
      <c r="S10" s="147"/>
    </row>
    <row r="11" spans="1:19" ht="18" customHeight="1" x14ac:dyDescent="0.25">
      <c r="A11" s="13" t="s">
        <v>68</v>
      </c>
      <c r="B11" s="8">
        <f>B6*B10</f>
        <v>2240</v>
      </c>
      <c r="C11" s="7" t="s">
        <v>44</v>
      </c>
      <c r="D11" s="176" t="s">
        <v>117</v>
      </c>
      <c r="E11" s="176"/>
      <c r="F11" s="176"/>
      <c r="G11" s="176"/>
      <c r="H11" s="176"/>
      <c r="I11" s="177"/>
      <c r="K11" s="147"/>
      <c r="L11" s="150"/>
      <c r="M11" s="147"/>
      <c r="N11" s="147"/>
      <c r="O11" s="147"/>
      <c r="P11" s="147"/>
      <c r="Q11" s="147"/>
      <c r="R11" s="147"/>
      <c r="S11" s="147"/>
    </row>
    <row r="12" spans="1:19" ht="18" customHeight="1" x14ac:dyDescent="0.25">
      <c r="A12" s="13" t="s">
        <v>67</v>
      </c>
      <c r="B12" s="135">
        <v>0.4</v>
      </c>
      <c r="C12" s="40" t="s">
        <v>70</v>
      </c>
      <c r="D12" s="184" t="s">
        <v>118</v>
      </c>
      <c r="E12" s="184"/>
      <c r="F12" s="184"/>
      <c r="G12" s="184"/>
      <c r="H12" s="184"/>
      <c r="I12" s="185"/>
      <c r="K12" s="151" t="s">
        <v>125</v>
      </c>
      <c r="L12" s="150"/>
      <c r="M12" s="147"/>
      <c r="N12" s="147"/>
      <c r="O12" s="147"/>
      <c r="P12" s="147"/>
      <c r="Q12" s="147"/>
      <c r="R12" s="147"/>
      <c r="S12" s="147"/>
    </row>
    <row r="13" spans="1:19" ht="18" customHeight="1" x14ac:dyDescent="0.25">
      <c r="A13" s="68" t="s">
        <v>11</v>
      </c>
      <c r="B13" s="137">
        <f>(B11/B12)/2000</f>
        <v>2.8</v>
      </c>
      <c r="C13" s="7" t="s">
        <v>46</v>
      </c>
      <c r="D13" s="184" t="s">
        <v>120</v>
      </c>
      <c r="E13" s="184"/>
      <c r="F13" s="184"/>
      <c r="G13" s="184"/>
      <c r="H13" s="184"/>
      <c r="I13" s="185"/>
      <c r="K13" s="151" t="s">
        <v>126</v>
      </c>
      <c r="L13" s="150"/>
      <c r="M13" s="147"/>
      <c r="N13" s="147"/>
      <c r="O13" s="147"/>
      <c r="P13" s="147"/>
      <c r="Q13" s="147"/>
      <c r="R13" s="147"/>
      <c r="S13" s="147"/>
    </row>
    <row r="14" spans="1:19" ht="18" customHeight="1" x14ac:dyDescent="0.25">
      <c r="A14" s="68"/>
      <c r="B14" s="66"/>
      <c r="C14" s="7"/>
      <c r="D14" s="129" t="s">
        <v>119</v>
      </c>
      <c r="E14" s="113"/>
      <c r="F14" s="113"/>
      <c r="G14" s="113"/>
      <c r="H14" s="113"/>
      <c r="I14" s="114"/>
      <c r="K14" s="147"/>
      <c r="L14" s="150"/>
      <c r="M14" s="147"/>
      <c r="N14" s="147"/>
      <c r="O14" s="147"/>
      <c r="P14" s="147"/>
      <c r="Q14" s="147"/>
      <c r="R14" s="147"/>
      <c r="S14" s="147"/>
    </row>
    <row r="15" spans="1:19" ht="18" customHeight="1" x14ac:dyDescent="0.25">
      <c r="A15" s="13" t="s">
        <v>72</v>
      </c>
      <c r="B15" s="135">
        <v>0.35</v>
      </c>
      <c r="C15" s="40" t="s">
        <v>71</v>
      </c>
      <c r="D15" s="186"/>
      <c r="E15" s="186"/>
      <c r="F15" s="186"/>
      <c r="G15" s="186"/>
      <c r="H15" s="186"/>
      <c r="I15" s="187"/>
      <c r="K15" s="152"/>
      <c r="L15" s="150"/>
      <c r="M15" s="147"/>
      <c r="N15" s="147"/>
      <c r="O15" s="147"/>
      <c r="P15" s="147"/>
      <c r="Q15" s="147"/>
      <c r="R15" s="147"/>
      <c r="S15" s="147"/>
    </row>
    <row r="16" spans="1:19" ht="18" customHeight="1" x14ac:dyDescent="0.25">
      <c r="A16" s="13" t="s">
        <v>10</v>
      </c>
      <c r="B16" s="66">
        <f>B13*B15</f>
        <v>0.97999999999999987</v>
      </c>
      <c r="C16" s="7" t="s">
        <v>46</v>
      </c>
      <c r="D16" s="184" t="s">
        <v>142</v>
      </c>
      <c r="E16" s="184"/>
      <c r="F16" s="184"/>
      <c r="G16" s="184"/>
      <c r="H16" s="184"/>
      <c r="I16" s="185"/>
      <c r="K16" s="152"/>
      <c r="L16" s="152"/>
      <c r="M16" s="147"/>
      <c r="N16" s="147"/>
      <c r="O16" s="147"/>
      <c r="P16" s="147"/>
      <c r="Q16" s="147"/>
      <c r="R16" s="147"/>
      <c r="S16" s="147"/>
    </row>
    <row r="17" spans="1:19" ht="15" customHeight="1" thickBot="1" x14ac:dyDescent="0.3">
      <c r="A17" s="45"/>
      <c r="B17" s="46"/>
      <c r="C17" s="2"/>
      <c r="D17" s="41"/>
      <c r="E17" s="41"/>
      <c r="F17" s="41"/>
      <c r="G17" s="41"/>
      <c r="H17" s="41"/>
      <c r="I17" s="42"/>
      <c r="K17" s="153"/>
      <c r="L17" s="147"/>
      <c r="M17" s="147"/>
      <c r="N17" s="154"/>
      <c r="O17" s="147"/>
      <c r="P17" s="147"/>
      <c r="Q17" s="147"/>
      <c r="R17" s="147"/>
      <c r="S17" s="147"/>
    </row>
    <row r="18" spans="1:19" ht="18" customHeight="1" x14ac:dyDescent="0.25">
      <c r="A18" s="50" t="s">
        <v>34</v>
      </c>
      <c r="B18" s="47" t="s">
        <v>7</v>
      </c>
      <c r="C18" s="47" t="s">
        <v>22</v>
      </c>
      <c r="D18" s="51" t="s">
        <v>56</v>
      </c>
      <c r="E18" s="47" t="s">
        <v>57</v>
      </c>
      <c r="F18" s="47" t="s">
        <v>27</v>
      </c>
      <c r="G18" s="47"/>
      <c r="H18" s="47"/>
      <c r="I18" s="48"/>
      <c r="K18" s="155" t="s">
        <v>112</v>
      </c>
      <c r="L18" s="153"/>
      <c r="M18" s="153"/>
      <c r="N18" s="153"/>
      <c r="O18" s="153"/>
      <c r="P18" s="153"/>
      <c r="Q18" s="156"/>
      <c r="R18" s="152"/>
      <c r="S18" s="152"/>
    </row>
    <row r="19" spans="1:19" ht="18" customHeight="1" x14ac:dyDescent="0.25">
      <c r="A19" s="11" t="s">
        <v>52</v>
      </c>
      <c r="B19" s="138">
        <v>27</v>
      </c>
      <c r="C19" s="37" t="s">
        <v>47</v>
      </c>
      <c r="D19" s="24">
        <f>B19</f>
        <v>27</v>
      </c>
      <c r="E19" s="24">
        <f>D19/$B$6</f>
        <v>0.67500000000000004</v>
      </c>
      <c r="F19" s="181" t="s">
        <v>61</v>
      </c>
      <c r="G19" s="181"/>
      <c r="H19" s="181"/>
      <c r="I19" s="182"/>
      <c r="K19" s="157" t="s">
        <v>111</v>
      </c>
      <c r="L19" s="153"/>
      <c r="M19" s="153"/>
      <c r="N19" s="153"/>
      <c r="O19" s="153"/>
      <c r="P19" s="153"/>
      <c r="Q19" s="147"/>
      <c r="R19" s="158"/>
      <c r="S19" s="158"/>
    </row>
    <row r="20" spans="1:19" ht="18" customHeight="1" x14ac:dyDescent="0.25">
      <c r="A20" s="11" t="s">
        <v>53</v>
      </c>
      <c r="B20" s="139">
        <v>0.23</v>
      </c>
      <c r="C20" s="37" t="s">
        <v>45</v>
      </c>
      <c r="D20" s="24">
        <f>IF(B6&gt;B21,B20*(B6-B21),0)</f>
        <v>0</v>
      </c>
      <c r="E20" s="24">
        <f>D20/$B$6</f>
        <v>0</v>
      </c>
      <c r="F20" s="178" t="s">
        <v>62</v>
      </c>
      <c r="G20" s="179"/>
      <c r="H20" s="179"/>
      <c r="I20" s="180"/>
      <c r="K20" s="153"/>
      <c r="L20" s="153"/>
      <c r="M20" s="153"/>
      <c r="N20" s="153"/>
      <c r="O20" s="153"/>
      <c r="P20" s="153"/>
      <c r="Q20" s="147"/>
      <c r="R20" s="158"/>
      <c r="S20" s="158"/>
    </row>
    <row r="21" spans="1:19" ht="18" customHeight="1" x14ac:dyDescent="0.25">
      <c r="A21" s="11" t="s">
        <v>54</v>
      </c>
      <c r="B21" s="140">
        <v>80</v>
      </c>
      <c r="C21" s="37" t="s">
        <v>55</v>
      </c>
      <c r="D21" s="63" t="s">
        <v>58</v>
      </c>
      <c r="E21" s="63" t="s">
        <v>58</v>
      </c>
      <c r="F21" s="178" t="s">
        <v>62</v>
      </c>
      <c r="G21" s="179"/>
      <c r="H21" s="179"/>
      <c r="I21" s="180"/>
      <c r="K21" s="152"/>
      <c r="L21" s="153"/>
      <c r="M21" s="153"/>
      <c r="N21" s="173"/>
      <c r="O21" s="153"/>
      <c r="P21" s="153"/>
      <c r="Q21" s="147"/>
      <c r="R21" s="158"/>
      <c r="S21" s="158"/>
    </row>
    <row r="22" spans="1:19" ht="18" customHeight="1" x14ac:dyDescent="0.25">
      <c r="A22" s="28" t="s">
        <v>15</v>
      </c>
      <c r="B22" s="139">
        <v>0.18</v>
      </c>
      <c r="C22" s="37" t="s">
        <v>45</v>
      </c>
      <c r="D22" s="24">
        <f>B6*B22</f>
        <v>7.1999999999999993</v>
      </c>
      <c r="E22" s="24">
        <f>D22/$B$6</f>
        <v>0.18</v>
      </c>
      <c r="F22" s="178" t="s">
        <v>62</v>
      </c>
      <c r="G22" s="179"/>
      <c r="H22" s="179"/>
      <c r="I22" s="180"/>
      <c r="K22" s="152"/>
      <c r="L22" s="159"/>
      <c r="M22" s="152"/>
      <c r="N22" s="152"/>
      <c r="O22" s="152"/>
      <c r="P22" s="156"/>
      <c r="Q22" s="156"/>
      <c r="R22" s="152"/>
      <c r="S22" s="152"/>
    </row>
    <row r="23" spans="1:19" ht="18" customHeight="1" x14ac:dyDescent="0.25">
      <c r="A23" s="11" t="s">
        <v>1</v>
      </c>
      <c r="B23" s="139">
        <v>0.04</v>
      </c>
      <c r="C23" s="37" t="s">
        <v>45</v>
      </c>
      <c r="D23" s="24">
        <f>IF(B8&lt;=B24,0,B6*((B8-B24)*100)*B23)</f>
        <v>0</v>
      </c>
      <c r="E23" s="64">
        <f>D23/$B$6</f>
        <v>0</v>
      </c>
      <c r="F23" s="178" t="s">
        <v>152</v>
      </c>
      <c r="G23" s="179"/>
      <c r="H23" s="179"/>
      <c r="I23" s="180"/>
      <c r="K23" s="152"/>
      <c r="L23" s="134"/>
      <c r="M23" s="152"/>
      <c r="N23" s="152"/>
      <c r="O23" s="152"/>
      <c r="P23" s="152"/>
      <c r="Q23" s="152"/>
      <c r="R23" s="152"/>
      <c r="S23" s="152"/>
    </row>
    <row r="24" spans="1:19" ht="18" customHeight="1" x14ac:dyDescent="0.25">
      <c r="A24" s="11" t="s">
        <v>63</v>
      </c>
      <c r="B24" s="141">
        <v>0.155</v>
      </c>
      <c r="C24" s="62" t="s">
        <v>58</v>
      </c>
      <c r="D24" s="65" t="s">
        <v>58</v>
      </c>
      <c r="E24" s="65" t="s">
        <v>58</v>
      </c>
      <c r="F24" s="59" t="s">
        <v>64</v>
      </c>
      <c r="G24" s="60"/>
      <c r="H24" s="60"/>
      <c r="I24" s="61"/>
      <c r="K24" s="152"/>
      <c r="L24" s="152"/>
      <c r="M24" s="152"/>
      <c r="N24" s="152"/>
      <c r="O24" s="152"/>
      <c r="P24" s="152"/>
      <c r="Q24" s="152"/>
      <c r="R24" s="152"/>
      <c r="S24" s="152"/>
    </row>
    <row r="25" spans="1:19" ht="18" customHeight="1" x14ac:dyDescent="0.25">
      <c r="B25" s="7"/>
      <c r="C25" s="55" t="s">
        <v>59</v>
      </c>
      <c r="D25" s="24">
        <f>SUM(D19:D24)</f>
        <v>34.200000000000003</v>
      </c>
      <c r="E25" s="24">
        <f>SUM(E19:E24)</f>
        <v>0.85499999999999998</v>
      </c>
      <c r="G25" s="7"/>
      <c r="H25" s="7"/>
      <c r="I25" s="9"/>
      <c r="K25" s="152"/>
      <c r="L25" s="152"/>
      <c r="M25" s="152"/>
      <c r="N25" s="152"/>
      <c r="O25" s="152"/>
      <c r="P25" s="152"/>
      <c r="Q25" s="152"/>
      <c r="R25" s="152"/>
      <c r="S25" s="152"/>
    </row>
    <row r="26" spans="1:19" ht="18" customHeight="1" thickBot="1" x14ac:dyDescent="0.3">
      <c r="A26" s="16"/>
      <c r="B26" s="2"/>
      <c r="C26" s="2"/>
      <c r="D26" s="2"/>
      <c r="E26" s="2"/>
      <c r="F26" s="2"/>
      <c r="G26" s="2"/>
      <c r="H26" s="2"/>
      <c r="I26" s="18"/>
      <c r="K26" s="152"/>
      <c r="L26" s="152"/>
      <c r="M26" s="152"/>
      <c r="N26" s="152"/>
      <c r="O26" s="152"/>
      <c r="P26" s="152"/>
      <c r="Q26" s="152"/>
      <c r="R26" s="152"/>
      <c r="S26" s="152"/>
    </row>
    <row r="27" spans="1:19" ht="18" customHeight="1" x14ac:dyDescent="0.25">
      <c r="A27" s="50" t="s">
        <v>2</v>
      </c>
      <c r="B27" s="54"/>
      <c r="C27" s="47"/>
      <c r="D27" s="47" t="s">
        <v>27</v>
      </c>
      <c r="E27" s="47"/>
      <c r="F27" s="47"/>
      <c r="G27" s="47"/>
      <c r="H27" s="47"/>
      <c r="I27" s="48"/>
      <c r="K27" s="152"/>
      <c r="L27" s="152"/>
      <c r="M27" s="152"/>
      <c r="N27" s="152"/>
      <c r="O27" s="152"/>
      <c r="P27" s="152"/>
      <c r="Q27" s="152"/>
      <c r="R27" s="152"/>
      <c r="S27" s="152"/>
    </row>
    <row r="28" spans="1:19" ht="15" customHeight="1" x14ac:dyDescent="0.25">
      <c r="A28" s="11" t="s">
        <v>28</v>
      </c>
      <c r="B28" s="66">
        <f>B16*(1-B12)</f>
        <v>0.58799999999999986</v>
      </c>
      <c r="C28" s="7" t="s">
        <v>50</v>
      </c>
      <c r="D28" s="7" t="s">
        <v>106</v>
      </c>
      <c r="E28" s="7"/>
      <c r="F28" s="7"/>
      <c r="G28" s="7"/>
      <c r="H28" s="7"/>
      <c r="I28" s="9"/>
      <c r="K28" s="152"/>
      <c r="L28" s="152"/>
      <c r="M28" s="152"/>
      <c r="N28" s="152"/>
      <c r="O28" s="152"/>
      <c r="P28" s="152"/>
      <c r="Q28" s="152"/>
      <c r="R28" s="152"/>
      <c r="S28" s="152"/>
    </row>
    <row r="29" spans="1:19" ht="15" customHeight="1" x14ac:dyDescent="0.25">
      <c r="A29" s="13"/>
      <c r="B29" s="14"/>
      <c r="C29" s="7"/>
      <c r="D29" s="7"/>
      <c r="E29" s="7"/>
      <c r="F29" s="7"/>
      <c r="G29" s="7"/>
      <c r="H29" s="7"/>
      <c r="I29" s="9"/>
      <c r="K29" s="152" t="s">
        <v>109</v>
      </c>
      <c r="L29" s="152"/>
      <c r="M29" s="152"/>
      <c r="N29" s="152"/>
      <c r="O29" s="152"/>
      <c r="P29" s="152"/>
      <c r="Q29" s="152"/>
      <c r="R29" s="152"/>
      <c r="S29" s="152"/>
    </row>
    <row r="30" spans="1:19" ht="45" customHeight="1" x14ac:dyDescent="0.25">
      <c r="A30" s="53" t="s">
        <v>130</v>
      </c>
      <c r="B30" s="3" t="s">
        <v>39</v>
      </c>
      <c r="C30" s="4" t="s">
        <v>40</v>
      </c>
      <c r="D30" s="4" t="s">
        <v>42</v>
      </c>
      <c r="E30" s="4" t="s">
        <v>6</v>
      </c>
      <c r="F30" s="4" t="s">
        <v>41</v>
      </c>
      <c r="G30" s="38"/>
      <c r="H30" s="7"/>
      <c r="I30" s="9"/>
      <c r="K30" s="160" t="s">
        <v>107</v>
      </c>
      <c r="L30" s="152"/>
      <c r="M30" s="152"/>
      <c r="N30" s="152"/>
      <c r="O30" s="152"/>
      <c r="P30" s="152"/>
      <c r="Q30" s="152"/>
      <c r="R30" s="152"/>
      <c r="S30" s="152"/>
    </row>
    <row r="31" spans="1:19" ht="18" customHeight="1" x14ac:dyDescent="0.25">
      <c r="A31" s="11" t="s">
        <v>3</v>
      </c>
      <c r="B31" s="142">
        <v>17.399999999999999</v>
      </c>
      <c r="C31" s="52">
        <f>B31*B$28</f>
        <v>10.231199999999996</v>
      </c>
      <c r="D31" s="143">
        <v>0.4</v>
      </c>
      <c r="E31" s="144">
        <v>0.5</v>
      </c>
      <c r="F31" s="19">
        <f>B31*$B$28*D31*E31</f>
        <v>2.0462399999999992</v>
      </c>
      <c r="G31" s="39"/>
      <c r="H31" s="7"/>
      <c r="I31" s="9"/>
      <c r="K31" s="160" t="s">
        <v>113</v>
      </c>
      <c r="L31" s="152"/>
      <c r="M31" s="152"/>
      <c r="N31" s="152"/>
      <c r="O31" s="152"/>
      <c r="P31" s="152"/>
      <c r="Q31" s="152"/>
      <c r="R31" s="152"/>
      <c r="S31" s="152"/>
    </row>
    <row r="32" spans="1:19" ht="18" customHeight="1" x14ac:dyDescent="0.25">
      <c r="A32" s="11" t="s">
        <v>4</v>
      </c>
      <c r="B32" s="142">
        <v>6.2</v>
      </c>
      <c r="C32" s="52">
        <f>B32*B$28</f>
        <v>3.6455999999999991</v>
      </c>
      <c r="D32" s="143">
        <v>0.45</v>
      </c>
      <c r="E32" s="144">
        <v>0.5</v>
      </c>
      <c r="F32" s="19">
        <f t="shared" ref="F32:F33" si="0">B32*$B$28*D32*E32</f>
        <v>0.82025999999999977</v>
      </c>
      <c r="G32" s="39"/>
      <c r="H32" s="7"/>
      <c r="I32" s="9"/>
      <c r="K32" s="160" t="s">
        <v>108</v>
      </c>
      <c r="L32" s="152"/>
      <c r="M32" s="152"/>
      <c r="N32" s="152"/>
      <c r="O32" s="152"/>
      <c r="P32" s="152"/>
      <c r="Q32" s="152"/>
      <c r="R32" s="152"/>
      <c r="S32" s="152"/>
    </row>
    <row r="33" spans="1:19" ht="18" customHeight="1" x14ac:dyDescent="0.25">
      <c r="A33" s="11" t="s">
        <v>5</v>
      </c>
      <c r="B33" s="142">
        <v>27.5</v>
      </c>
      <c r="C33" s="52">
        <f>B33*B$28</f>
        <v>16.169999999999995</v>
      </c>
      <c r="D33" s="143">
        <v>0.5</v>
      </c>
      <c r="E33" s="145">
        <v>0.5</v>
      </c>
      <c r="F33" s="56">
        <f t="shared" si="0"/>
        <v>4.0424999999999986</v>
      </c>
      <c r="G33" s="39"/>
      <c r="H33" s="7"/>
      <c r="I33" s="9"/>
      <c r="K33" s="160" t="s">
        <v>110</v>
      </c>
      <c r="L33" s="152"/>
      <c r="M33" s="152"/>
      <c r="N33" s="152"/>
      <c r="O33" s="152"/>
      <c r="P33" s="152"/>
      <c r="Q33" s="152"/>
      <c r="R33" s="152"/>
      <c r="S33" s="152"/>
    </row>
    <row r="34" spans="1:19" ht="18" customHeight="1" x14ac:dyDescent="0.25">
      <c r="A34" s="12"/>
      <c r="B34" s="37"/>
      <c r="C34" s="7"/>
      <c r="D34" s="37"/>
      <c r="E34" s="57" t="s">
        <v>25</v>
      </c>
      <c r="F34" s="19">
        <f>SUM(F31:F33)</f>
        <v>6.9089999999999971</v>
      </c>
      <c r="G34" s="7"/>
      <c r="H34" s="7"/>
      <c r="I34" s="9"/>
      <c r="K34" s="152"/>
      <c r="L34" s="152"/>
      <c r="M34" s="152"/>
      <c r="N34" s="152"/>
      <c r="O34" s="152"/>
      <c r="P34" s="152"/>
      <c r="Q34" s="152"/>
      <c r="R34" s="152"/>
      <c r="S34" s="152"/>
    </row>
    <row r="35" spans="1:19" ht="18" customHeight="1" thickBot="1" x14ac:dyDescent="0.3">
      <c r="A35" s="16"/>
      <c r="B35" s="2"/>
      <c r="C35" s="2"/>
      <c r="D35" s="2"/>
      <c r="E35" s="2"/>
      <c r="F35" s="2"/>
      <c r="G35" s="2"/>
      <c r="H35" s="2"/>
      <c r="I35" s="18"/>
      <c r="K35" s="152"/>
      <c r="L35" s="152"/>
      <c r="M35" s="152"/>
      <c r="N35" s="152"/>
      <c r="O35" s="152"/>
      <c r="P35" s="152"/>
      <c r="Q35" s="152"/>
      <c r="R35" s="152"/>
      <c r="S35" s="152"/>
    </row>
    <row r="36" spans="1:19" ht="18" customHeight="1" x14ac:dyDescent="0.25">
      <c r="A36" s="50" t="s">
        <v>29</v>
      </c>
      <c r="B36" s="47" t="s">
        <v>7</v>
      </c>
      <c r="C36" s="47" t="s">
        <v>22</v>
      </c>
      <c r="D36" s="47" t="s">
        <v>27</v>
      </c>
      <c r="E36" s="47"/>
      <c r="F36" s="47"/>
      <c r="G36" s="47"/>
      <c r="H36" s="47"/>
      <c r="I36" s="48"/>
      <c r="K36" s="152"/>
      <c r="L36" s="152"/>
      <c r="M36" s="152"/>
      <c r="N36" s="152"/>
      <c r="O36" s="152"/>
      <c r="P36" s="152"/>
      <c r="Q36" s="152"/>
      <c r="R36" s="152"/>
      <c r="S36" s="152"/>
    </row>
    <row r="37" spans="1:19" ht="18" customHeight="1" x14ac:dyDescent="0.25">
      <c r="A37" s="12" t="s">
        <v>49</v>
      </c>
      <c r="B37" s="6">
        <f>B6*B7</f>
        <v>140</v>
      </c>
      <c r="C37" s="7" t="s">
        <v>47</v>
      </c>
      <c r="D37" s="181" t="s">
        <v>131</v>
      </c>
      <c r="E37" s="181"/>
      <c r="F37" s="181"/>
      <c r="G37" s="181"/>
      <c r="H37" s="181"/>
      <c r="I37" s="182"/>
      <c r="K37" s="152"/>
      <c r="L37" s="152"/>
      <c r="M37" s="152"/>
      <c r="N37" s="152"/>
      <c r="O37" s="152"/>
      <c r="P37" s="152"/>
      <c r="Q37" s="152"/>
      <c r="R37" s="152"/>
      <c r="S37" s="152"/>
    </row>
    <row r="38" spans="1:19" ht="18" customHeight="1" x14ac:dyDescent="0.25">
      <c r="A38" s="12" t="s">
        <v>12</v>
      </c>
      <c r="B38" s="6">
        <f>-D25</f>
        <v>-34.200000000000003</v>
      </c>
      <c r="C38" s="7" t="s">
        <v>47</v>
      </c>
      <c r="D38" s="183" t="s">
        <v>86</v>
      </c>
      <c r="E38" s="179"/>
      <c r="F38" s="179"/>
      <c r="G38" s="179"/>
      <c r="H38" s="179"/>
      <c r="I38" s="180"/>
      <c r="K38" s="152"/>
      <c r="L38" s="152"/>
      <c r="M38" s="152"/>
      <c r="N38" s="152"/>
      <c r="O38" s="152"/>
      <c r="P38" s="152"/>
      <c r="Q38" s="152"/>
      <c r="R38" s="152"/>
      <c r="S38" s="152"/>
    </row>
    <row r="39" spans="1:19" ht="18" customHeight="1" x14ac:dyDescent="0.25">
      <c r="A39" s="12" t="s">
        <v>30</v>
      </c>
      <c r="B39" s="6">
        <f>F34</f>
        <v>6.9089999999999971</v>
      </c>
      <c r="C39" s="7" t="s">
        <v>47</v>
      </c>
      <c r="D39" s="183" t="s">
        <v>101</v>
      </c>
      <c r="E39" s="179"/>
      <c r="F39" s="179"/>
      <c r="G39" s="179"/>
      <c r="H39" s="179"/>
      <c r="I39" s="180"/>
      <c r="K39" s="152"/>
      <c r="L39" s="152"/>
      <c r="M39" s="152"/>
      <c r="N39" s="152"/>
      <c r="O39" s="152"/>
      <c r="P39" s="152"/>
      <c r="Q39" s="152"/>
      <c r="R39" s="152"/>
      <c r="S39" s="152"/>
    </row>
    <row r="40" spans="1:19" ht="18" customHeight="1" x14ac:dyDescent="0.25">
      <c r="A40" s="12" t="s">
        <v>60</v>
      </c>
      <c r="B40" s="146">
        <v>0</v>
      </c>
      <c r="C40" s="58" t="s">
        <v>47</v>
      </c>
      <c r="D40" s="174" t="s">
        <v>132</v>
      </c>
      <c r="E40" s="174"/>
      <c r="F40" s="174"/>
      <c r="G40" s="174"/>
      <c r="H40" s="174"/>
      <c r="I40" s="175"/>
      <c r="K40" s="152"/>
      <c r="L40" s="152"/>
      <c r="M40" s="152"/>
      <c r="N40" s="152"/>
      <c r="O40" s="152"/>
      <c r="P40" s="152"/>
      <c r="Q40" s="152"/>
      <c r="R40" s="152"/>
      <c r="S40" s="152"/>
    </row>
    <row r="41" spans="1:19" ht="18" customHeight="1" x14ac:dyDescent="0.25">
      <c r="A41" s="12"/>
      <c r="B41" s="30">
        <f>SUM(B37:B40)</f>
        <v>112.70899999999999</v>
      </c>
      <c r="C41" s="31" t="s">
        <v>47</v>
      </c>
      <c r="D41" s="34" t="s">
        <v>37</v>
      </c>
      <c r="E41" s="32"/>
      <c r="F41" s="32"/>
      <c r="G41" s="32"/>
      <c r="H41" s="32"/>
      <c r="I41" s="9"/>
      <c r="K41" s="152"/>
      <c r="L41" s="152"/>
      <c r="M41" s="152"/>
      <c r="N41" s="152"/>
      <c r="O41" s="152"/>
      <c r="P41" s="152"/>
      <c r="Q41" s="152"/>
      <c r="R41" s="152"/>
      <c r="S41" s="152"/>
    </row>
    <row r="42" spans="1:19" ht="18" customHeight="1" x14ac:dyDescent="0.25">
      <c r="A42" s="29"/>
      <c r="B42" s="30">
        <f>B41/B13</f>
        <v>40.253214285714286</v>
      </c>
      <c r="C42" s="31" t="s">
        <v>48</v>
      </c>
      <c r="D42" s="33" t="s">
        <v>35</v>
      </c>
      <c r="E42" s="32"/>
      <c r="F42" s="32"/>
      <c r="G42" s="32"/>
      <c r="H42" s="32"/>
      <c r="I42" s="9"/>
      <c r="K42" s="152"/>
      <c r="L42" s="152"/>
      <c r="M42" s="152"/>
      <c r="N42" s="152"/>
      <c r="O42" s="152"/>
      <c r="P42" s="152"/>
      <c r="Q42" s="152"/>
      <c r="R42" s="152"/>
      <c r="S42" s="152"/>
    </row>
    <row r="43" spans="1:19" ht="15.75" thickBot="1" x14ac:dyDescent="0.3">
      <c r="A43" s="16"/>
      <c r="B43" s="17"/>
      <c r="C43" s="2"/>
      <c r="D43" s="2"/>
      <c r="E43" s="2"/>
      <c r="F43" s="2"/>
      <c r="G43" s="2"/>
      <c r="H43" s="2"/>
      <c r="I43" s="18"/>
      <c r="K43" s="152"/>
      <c r="L43" s="152"/>
      <c r="M43" s="152"/>
      <c r="N43" s="152"/>
      <c r="O43" s="152"/>
      <c r="P43" s="152"/>
      <c r="Q43" s="152"/>
      <c r="R43" s="152"/>
      <c r="S43" s="152"/>
    </row>
    <row r="45" spans="1:19" x14ac:dyDescent="0.25">
      <c r="F45" s="1"/>
    </row>
    <row r="49" spans="11:11" x14ac:dyDescent="0.25">
      <c r="K49" s="36"/>
    </row>
    <row r="50" spans="11:11" x14ac:dyDescent="0.25">
      <c r="K50" s="36"/>
    </row>
  </sheetData>
  <sheetProtection algorithmName="SHA-512" hashValue="Y/AQz19hBj68SawR6vEqDmeI3Y0g/uwDKWiHm5QpCbwvYmlsoXthvjI7Y+zFx+vrBr9QLIwS6hfGSBM0yia61A==" saltValue="M6qzVz17NYOdXO6FnmSCWA==" spinCount="100000" sheet="1" objects="1" scenarios="1"/>
  <mergeCells count="20">
    <mergeCell ref="A4:I4"/>
    <mergeCell ref="K4:S4"/>
    <mergeCell ref="D6:I6"/>
    <mergeCell ref="D7:I7"/>
    <mergeCell ref="D8:I8"/>
    <mergeCell ref="D10:I10"/>
    <mergeCell ref="D12:I12"/>
    <mergeCell ref="D13:I13"/>
    <mergeCell ref="D15:I15"/>
    <mergeCell ref="D16:I16"/>
    <mergeCell ref="D40:I40"/>
    <mergeCell ref="D11:I11"/>
    <mergeCell ref="F23:I23"/>
    <mergeCell ref="D37:I37"/>
    <mergeCell ref="D38:I38"/>
    <mergeCell ref="D39:I39"/>
    <mergeCell ref="F19:I19"/>
    <mergeCell ref="F20:I20"/>
    <mergeCell ref="F21:I21"/>
    <mergeCell ref="F22:I22"/>
  </mergeCells>
  <hyperlinks>
    <hyperlink ref="K30" r:id="rId1" xr:uid="{00000000-0004-0000-0000-000000000000}"/>
    <hyperlink ref="K32" r:id="rId2" xr:uid="{00000000-0004-0000-0000-000001000000}"/>
    <hyperlink ref="K19" r:id="rId3" xr:uid="{00000000-0004-0000-0000-000002000000}"/>
    <hyperlink ref="K33" r:id="rId4" xr:uid="{00000000-0004-0000-0000-000003000000}"/>
    <hyperlink ref="K31" r:id="rId5" xr:uid="{00000000-0004-0000-0000-000004000000}"/>
    <hyperlink ref="K6" r:id="rId6" xr:uid="{00000000-0004-0000-0000-000005000000}"/>
    <hyperlink ref="K7" r:id="rId7" xr:uid="{00000000-0004-0000-0000-000006000000}"/>
    <hyperlink ref="K8" r:id="rId8" xr:uid="{00000000-0004-0000-0000-000007000000}"/>
    <hyperlink ref="K9" r:id="rId9" xr:uid="{00000000-0004-0000-0000-000008000000}"/>
    <hyperlink ref="K10" r:id="rId10" xr:uid="{00000000-0004-0000-0000-000009000000}"/>
    <hyperlink ref="K12" r:id="rId11" xr:uid="{00000000-0004-0000-0000-00000A000000}"/>
    <hyperlink ref="K13" r:id="rId12" xr:uid="{00000000-0004-0000-0000-00000B000000}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50"/>
  <sheetViews>
    <sheetView zoomScaleNormal="100" workbookViewId="0">
      <selection activeCell="B28" sqref="B28"/>
    </sheetView>
  </sheetViews>
  <sheetFormatPr defaultRowHeight="15" x14ac:dyDescent="0.25"/>
  <cols>
    <col min="1" max="1" width="40.42578125" customWidth="1"/>
    <col min="2" max="2" width="11.5703125" customWidth="1"/>
    <col min="3" max="4" width="18.7109375" customWidth="1"/>
    <col min="5" max="5" width="33.7109375" customWidth="1"/>
    <col min="6" max="6" width="6.7109375" customWidth="1"/>
    <col min="7" max="7" width="28.85546875" customWidth="1"/>
    <col min="8" max="8" width="15.140625" customWidth="1"/>
    <col min="9" max="12" width="9.28515625" customWidth="1"/>
    <col min="13" max="13" width="9.85546875" customWidth="1"/>
    <col min="14" max="16" width="10.7109375" customWidth="1"/>
    <col min="17" max="17" width="20.7109375" customWidth="1"/>
  </cols>
  <sheetData>
    <row r="2" spans="1:19" ht="57" customHeight="1" thickBot="1" x14ac:dyDescent="0.3"/>
    <row r="3" spans="1:19" ht="29.25" customHeight="1" thickBot="1" x14ac:dyDescent="0.4">
      <c r="A3" s="201" t="s">
        <v>36</v>
      </c>
      <c r="B3" s="202"/>
      <c r="C3" s="202"/>
      <c r="D3" s="202"/>
      <c r="E3" s="203"/>
      <c r="G3" s="204"/>
      <c r="H3" s="204"/>
      <c r="I3" s="204"/>
      <c r="J3" s="204"/>
      <c r="K3" s="204"/>
      <c r="L3" s="204"/>
      <c r="M3" s="204"/>
      <c r="N3" s="204"/>
      <c r="O3" s="204"/>
    </row>
    <row r="4" spans="1:19" ht="15" customHeight="1" x14ac:dyDescent="0.35">
      <c r="A4" s="70"/>
      <c r="B4" s="71"/>
      <c r="C4" s="71"/>
      <c r="D4" s="71"/>
      <c r="E4" s="72"/>
      <c r="G4" s="105" t="s">
        <v>82</v>
      </c>
      <c r="H4" s="106"/>
      <c r="I4" s="106"/>
      <c r="J4" s="106"/>
      <c r="K4" s="106"/>
      <c r="L4" s="106"/>
      <c r="M4" s="106"/>
      <c r="N4" s="107"/>
      <c r="O4" s="107"/>
      <c r="P4" s="108"/>
    </row>
    <row r="5" spans="1:19" ht="18" customHeight="1" x14ac:dyDescent="0.35">
      <c r="A5" s="75" t="s">
        <v>75</v>
      </c>
      <c r="B5" s="71"/>
      <c r="C5" s="130" t="s">
        <v>92</v>
      </c>
      <c r="D5" s="102"/>
      <c r="E5" s="103"/>
      <c r="G5" s="209" t="s">
        <v>83</v>
      </c>
      <c r="H5" s="205" t="s">
        <v>19</v>
      </c>
      <c r="I5" s="205" t="s">
        <v>20</v>
      </c>
      <c r="J5" s="205" t="s">
        <v>74</v>
      </c>
      <c r="K5" s="205" t="s">
        <v>21</v>
      </c>
      <c r="L5" s="205" t="s">
        <v>22</v>
      </c>
      <c r="M5" s="205" t="s">
        <v>100</v>
      </c>
      <c r="N5" s="205" t="s">
        <v>99</v>
      </c>
      <c r="O5" s="205" t="s">
        <v>98</v>
      </c>
      <c r="P5" s="207" t="s">
        <v>97</v>
      </c>
      <c r="Q5" s="86"/>
      <c r="R5" s="87"/>
      <c r="S5" s="40"/>
    </row>
    <row r="6" spans="1:19" ht="18" customHeight="1" thickBot="1" x14ac:dyDescent="0.4">
      <c r="A6" s="15" t="s">
        <v>121</v>
      </c>
      <c r="B6" s="21">
        <f>'Owner Perspective'!B13</f>
        <v>2.8</v>
      </c>
      <c r="C6" s="43" t="s">
        <v>46</v>
      </c>
      <c r="D6" s="122"/>
      <c r="E6" s="123"/>
      <c r="G6" s="210"/>
      <c r="H6" s="206"/>
      <c r="I6" s="206"/>
      <c r="J6" s="206"/>
      <c r="K6" s="206"/>
      <c r="L6" s="206"/>
      <c r="M6" s="206"/>
      <c r="N6" s="206"/>
      <c r="O6" s="206"/>
      <c r="P6" s="208"/>
      <c r="Q6" s="86"/>
      <c r="R6" s="87"/>
      <c r="S6" s="40"/>
    </row>
    <row r="7" spans="1:19" ht="18" customHeight="1" x14ac:dyDescent="0.35">
      <c r="A7" s="15" t="s">
        <v>18</v>
      </c>
      <c r="B7" s="161">
        <v>0.15</v>
      </c>
      <c r="C7" s="43" t="s">
        <v>122</v>
      </c>
      <c r="D7" s="122"/>
      <c r="E7" s="123"/>
      <c r="G7" s="109" t="s">
        <v>33</v>
      </c>
      <c r="H7" s="164">
        <v>0.9</v>
      </c>
      <c r="I7" s="164">
        <v>0.54</v>
      </c>
      <c r="J7" s="164">
        <v>0.22</v>
      </c>
      <c r="K7" s="165">
        <v>185</v>
      </c>
      <c r="L7" s="88" t="s">
        <v>23</v>
      </c>
      <c r="M7" s="89">
        <v>2000</v>
      </c>
      <c r="N7" s="90">
        <f>HIDDEN!H9</f>
        <v>101.69811320754712</v>
      </c>
      <c r="O7" s="91">
        <f>N7/H7</f>
        <v>112.99790356394125</v>
      </c>
      <c r="P7" s="92">
        <f>O7*(K7/M7)</f>
        <v>10.452306079664565</v>
      </c>
      <c r="Q7" s="86"/>
      <c r="R7" s="87"/>
      <c r="S7" s="40"/>
    </row>
    <row r="8" spans="1:19" ht="18" customHeight="1" x14ac:dyDescent="0.35">
      <c r="A8" s="15" t="s">
        <v>124</v>
      </c>
      <c r="B8" s="22">
        <f>B6*(1-B7)</f>
        <v>2.38</v>
      </c>
      <c r="C8" s="43" t="s">
        <v>46</v>
      </c>
      <c r="D8" s="122"/>
      <c r="E8" s="123"/>
      <c r="G8" s="110" t="s">
        <v>96</v>
      </c>
      <c r="H8" s="164">
        <v>0.85</v>
      </c>
      <c r="I8" s="164">
        <v>0.92</v>
      </c>
      <c r="J8" s="164">
        <v>0.1</v>
      </c>
      <c r="K8" s="165">
        <v>3.4</v>
      </c>
      <c r="L8" s="88" t="s">
        <v>24</v>
      </c>
      <c r="M8" s="89">
        <v>56</v>
      </c>
      <c r="N8" s="93">
        <f>HIDDEN!H10</f>
        <v>427.2641509433962</v>
      </c>
      <c r="O8" s="94">
        <f>N8/H8</f>
        <v>502.66370699223086</v>
      </c>
      <c r="P8" s="92">
        <f>O8*(K8/M8)</f>
        <v>30.518867924528301</v>
      </c>
      <c r="Q8" s="40"/>
      <c r="R8" s="40"/>
      <c r="S8" s="40"/>
    </row>
    <row r="9" spans="1:19" ht="18" customHeight="1" thickBot="1" x14ac:dyDescent="0.4">
      <c r="A9" s="12"/>
      <c r="B9" s="7"/>
      <c r="C9" s="40"/>
      <c r="D9" s="71"/>
      <c r="E9" s="72"/>
      <c r="G9" s="95"/>
      <c r="H9" s="96"/>
      <c r="I9" s="96"/>
      <c r="J9" s="96"/>
      <c r="K9" s="96"/>
      <c r="L9" s="96"/>
      <c r="M9" s="96"/>
      <c r="N9" s="97" t="s">
        <v>84</v>
      </c>
      <c r="O9" s="98">
        <f>SUM(O7:O8)</f>
        <v>615.66161055617215</v>
      </c>
      <c r="P9" s="99">
        <f>SUM(P7:P8)</f>
        <v>40.971174004192868</v>
      </c>
    </row>
    <row r="10" spans="1:19" ht="18" customHeight="1" x14ac:dyDescent="0.35">
      <c r="A10" s="15"/>
      <c r="B10" s="22"/>
      <c r="C10" s="7"/>
      <c r="D10" s="71"/>
      <c r="E10" s="72"/>
      <c r="G10" s="76"/>
    </row>
    <row r="11" spans="1:19" ht="18" customHeight="1" x14ac:dyDescent="0.35">
      <c r="A11" s="74" t="s">
        <v>73</v>
      </c>
      <c r="B11" s="7"/>
      <c r="C11" s="101" t="s">
        <v>92</v>
      </c>
      <c r="D11" s="102"/>
      <c r="E11" s="103"/>
      <c r="G11" s="199" t="s">
        <v>136</v>
      </c>
      <c r="H11" s="199"/>
      <c r="I11" s="199"/>
      <c r="J11" s="199"/>
      <c r="K11" s="199"/>
      <c r="L11" s="199"/>
      <c r="M11" s="199"/>
      <c r="N11" s="199"/>
      <c r="O11" s="199"/>
      <c r="P11" s="199"/>
    </row>
    <row r="12" spans="1:19" ht="18" customHeight="1" x14ac:dyDescent="0.35">
      <c r="A12" s="15" t="s">
        <v>94</v>
      </c>
      <c r="B12" s="20">
        <f>'Owner Perspective'!B15</f>
        <v>0.35</v>
      </c>
      <c r="C12" s="128" t="s">
        <v>104</v>
      </c>
      <c r="D12" s="122"/>
      <c r="E12" s="123"/>
      <c r="G12" s="199"/>
      <c r="H12" s="199"/>
      <c r="I12" s="199"/>
      <c r="J12" s="199"/>
      <c r="K12" s="199"/>
      <c r="L12" s="199"/>
      <c r="M12" s="199"/>
      <c r="N12" s="199"/>
      <c r="O12" s="199"/>
      <c r="P12" s="199"/>
    </row>
    <row r="13" spans="1:19" ht="18" customHeight="1" x14ac:dyDescent="0.35">
      <c r="A13" s="15" t="s">
        <v>87</v>
      </c>
      <c r="B13" s="135">
        <v>0.64</v>
      </c>
      <c r="C13" s="124" t="s">
        <v>93</v>
      </c>
      <c r="D13" s="122"/>
      <c r="E13" s="123"/>
      <c r="G13" s="200"/>
      <c r="H13" s="200"/>
      <c r="I13" s="200"/>
      <c r="J13" s="200"/>
      <c r="K13" s="200"/>
      <c r="L13" s="200"/>
      <c r="M13" s="200"/>
      <c r="N13" s="200"/>
      <c r="O13" s="200"/>
      <c r="P13" s="200"/>
    </row>
    <row r="14" spans="1:19" ht="18" customHeight="1" x14ac:dyDescent="0.35">
      <c r="A14" s="73" t="s">
        <v>95</v>
      </c>
      <c r="B14" s="135">
        <v>9.2999999999999999E-2</v>
      </c>
      <c r="C14" s="124" t="s">
        <v>93</v>
      </c>
      <c r="D14" s="122"/>
      <c r="E14" s="123"/>
      <c r="G14" s="127"/>
      <c r="H14" s="52"/>
      <c r="I14" s="52"/>
    </row>
    <row r="15" spans="1:19" ht="18" customHeight="1" x14ac:dyDescent="0.25">
      <c r="A15" s="73" t="s">
        <v>88</v>
      </c>
      <c r="B15" s="119">
        <f>2000*B$12*B13</f>
        <v>448</v>
      </c>
      <c r="C15" s="43" t="s">
        <v>90</v>
      </c>
      <c r="D15" s="43"/>
      <c r="E15" s="44"/>
      <c r="G15" s="127"/>
      <c r="H15" s="52"/>
      <c r="I15" s="52"/>
      <c r="J15" s="7"/>
      <c r="K15" s="7"/>
      <c r="L15" s="7"/>
      <c r="M15" s="7"/>
    </row>
    <row r="16" spans="1:19" ht="18" customHeight="1" x14ac:dyDescent="0.35">
      <c r="A16" s="73" t="s">
        <v>89</v>
      </c>
      <c r="B16" s="119">
        <f>2000*B$12*B14</f>
        <v>65.099999999999994</v>
      </c>
      <c r="C16" s="43" t="s">
        <v>91</v>
      </c>
      <c r="D16" s="122"/>
      <c r="E16" s="123"/>
      <c r="G16" s="166" t="s">
        <v>109</v>
      </c>
      <c r="H16" s="167"/>
      <c r="I16" s="167"/>
      <c r="J16" s="167"/>
      <c r="K16" s="167"/>
      <c r="L16" s="167"/>
      <c r="M16" s="167"/>
      <c r="N16" s="152"/>
      <c r="O16" s="152"/>
      <c r="P16" s="152"/>
    </row>
    <row r="17" spans="1:16" ht="18" customHeight="1" x14ac:dyDescent="0.25">
      <c r="A17" s="12"/>
      <c r="B17" s="7"/>
      <c r="C17" s="7"/>
      <c r="D17" s="7"/>
      <c r="E17" s="9"/>
      <c r="G17" s="160" t="s">
        <v>144</v>
      </c>
      <c r="H17" s="167"/>
      <c r="I17" s="168"/>
      <c r="J17" s="168"/>
      <c r="K17" s="168"/>
      <c r="L17" s="168"/>
      <c r="M17" s="168"/>
      <c r="N17" s="152"/>
      <c r="O17" s="152"/>
      <c r="P17" s="152"/>
    </row>
    <row r="18" spans="1:16" ht="18" customHeight="1" x14ac:dyDescent="0.25">
      <c r="A18" s="12"/>
      <c r="B18" s="7"/>
      <c r="C18" s="7"/>
      <c r="D18" s="7"/>
      <c r="E18" s="9"/>
      <c r="G18" s="160" t="s">
        <v>145</v>
      </c>
      <c r="H18" s="169"/>
      <c r="I18" s="169"/>
      <c r="J18" s="169"/>
      <c r="K18" s="139"/>
      <c r="L18" s="139"/>
      <c r="M18" s="140"/>
      <c r="N18" s="152"/>
      <c r="O18" s="170"/>
      <c r="P18" s="152"/>
    </row>
    <row r="19" spans="1:16" ht="18" customHeight="1" x14ac:dyDescent="0.25">
      <c r="A19" s="83" t="s">
        <v>85</v>
      </c>
      <c r="B19" s="85" t="s">
        <v>16</v>
      </c>
      <c r="C19" s="84" t="s">
        <v>8</v>
      </c>
      <c r="D19" s="100" t="s">
        <v>27</v>
      </c>
      <c r="E19" s="104"/>
      <c r="G19" s="171" t="s">
        <v>143</v>
      </c>
      <c r="H19" s="169"/>
      <c r="I19" s="169"/>
      <c r="J19" s="169"/>
      <c r="K19" s="139"/>
      <c r="L19" s="139"/>
      <c r="M19" s="140"/>
      <c r="N19" s="152"/>
      <c r="O19" s="152"/>
      <c r="P19" s="152"/>
    </row>
    <row r="20" spans="1:16" ht="18" customHeight="1" x14ac:dyDescent="0.25">
      <c r="A20" s="11" t="s">
        <v>13</v>
      </c>
      <c r="B20" s="162">
        <v>9</v>
      </c>
      <c r="C20" s="5">
        <f>B20*$B$6</f>
        <v>25.2</v>
      </c>
      <c r="D20" s="43" t="s">
        <v>128</v>
      </c>
      <c r="E20" s="44"/>
      <c r="G20" s="160" t="s">
        <v>147</v>
      </c>
      <c r="H20" s="169"/>
      <c r="I20" s="169"/>
      <c r="J20" s="169"/>
      <c r="K20" s="139"/>
      <c r="L20" s="139"/>
      <c r="M20" s="140"/>
      <c r="N20" s="152"/>
      <c r="O20" s="152"/>
      <c r="P20" s="152"/>
    </row>
    <row r="21" spans="1:16" ht="18" customHeight="1" x14ac:dyDescent="0.25">
      <c r="A21" s="11" t="s">
        <v>15</v>
      </c>
      <c r="B21" s="162">
        <v>3</v>
      </c>
      <c r="C21" s="5">
        <f>B21*$B$6</f>
        <v>8.3999999999999986</v>
      </c>
      <c r="D21" s="43" t="s">
        <v>129</v>
      </c>
      <c r="E21" s="44"/>
      <c r="G21" s="171" t="s">
        <v>146</v>
      </c>
      <c r="H21" s="169"/>
      <c r="I21" s="169"/>
      <c r="J21" s="169"/>
      <c r="K21" s="139"/>
      <c r="L21" s="139"/>
      <c r="M21" s="140"/>
      <c r="N21" s="152"/>
      <c r="O21" s="152"/>
      <c r="P21" s="152"/>
    </row>
    <row r="22" spans="1:16" ht="18" customHeight="1" x14ac:dyDescent="0.25">
      <c r="A22" s="11" t="s">
        <v>14</v>
      </c>
      <c r="B22" s="162">
        <v>1</v>
      </c>
      <c r="C22" s="5">
        <f>B22*$B$6</f>
        <v>2.8</v>
      </c>
      <c r="D22" s="43"/>
      <c r="E22" s="44"/>
      <c r="G22" s="133"/>
      <c r="H22" s="169"/>
      <c r="I22" s="169"/>
      <c r="J22" s="169"/>
      <c r="K22" s="139"/>
      <c r="L22" s="139"/>
      <c r="M22" s="140"/>
      <c r="N22" s="152"/>
      <c r="O22" s="170"/>
      <c r="P22" s="152"/>
    </row>
    <row r="23" spans="1:16" ht="18" customHeight="1" x14ac:dyDescent="0.25">
      <c r="A23" s="11" t="s">
        <v>32</v>
      </c>
      <c r="B23" s="162">
        <v>0</v>
      </c>
      <c r="C23" s="5">
        <f>B23*$B$6</f>
        <v>0</v>
      </c>
      <c r="D23" s="43"/>
      <c r="E23" s="44"/>
      <c r="G23" s="160" t="s">
        <v>149</v>
      </c>
      <c r="H23" s="169"/>
      <c r="I23" s="169"/>
      <c r="J23" s="169"/>
      <c r="K23" s="139"/>
      <c r="L23" s="139"/>
      <c r="M23" s="140"/>
      <c r="N23" s="152"/>
      <c r="O23" s="152"/>
      <c r="P23" s="152"/>
    </row>
    <row r="24" spans="1:16" ht="18" customHeight="1" x14ac:dyDescent="0.25">
      <c r="A24" s="23" t="s">
        <v>17</v>
      </c>
      <c r="B24" s="162">
        <f>SUM(B20:B23)</f>
        <v>13</v>
      </c>
      <c r="C24" s="25">
        <f>SUM(C20:C23)</f>
        <v>36.399999999999991</v>
      </c>
      <c r="D24" s="43"/>
      <c r="E24" s="44"/>
      <c r="G24" s="171" t="s">
        <v>148</v>
      </c>
      <c r="H24" s="169"/>
      <c r="I24" s="169"/>
      <c r="J24" s="169"/>
      <c r="K24" s="139"/>
      <c r="L24" s="139"/>
      <c r="M24" s="140"/>
      <c r="N24" s="152"/>
      <c r="O24" s="152"/>
      <c r="P24" s="152"/>
    </row>
    <row r="25" spans="1:16" ht="18" customHeight="1" x14ac:dyDescent="0.25">
      <c r="A25" s="12"/>
      <c r="B25" s="7"/>
      <c r="C25" s="7"/>
      <c r="D25" s="7"/>
      <c r="E25" s="9"/>
      <c r="G25" s="172"/>
      <c r="H25" s="169"/>
      <c r="I25" s="169"/>
      <c r="J25" s="169"/>
      <c r="K25" s="139"/>
      <c r="L25" s="139"/>
      <c r="M25" s="140"/>
      <c r="N25" s="152"/>
      <c r="O25" s="152"/>
      <c r="P25" s="152"/>
    </row>
    <row r="26" spans="1:16" ht="18" customHeight="1" x14ac:dyDescent="0.25">
      <c r="A26" s="12"/>
      <c r="B26" s="7"/>
      <c r="C26" s="7"/>
      <c r="D26" s="7"/>
      <c r="E26" s="9"/>
      <c r="G26" s="172"/>
      <c r="H26" s="169"/>
      <c r="I26" s="169"/>
      <c r="J26" s="169"/>
      <c r="K26" s="139"/>
      <c r="L26" s="139"/>
      <c r="M26" s="140"/>
      <c r="N26" s="152"/>
      <c r="O26" s="152"/>
      <c r="P26" s="152"/>
    </row>
    <row r="27" spans="1:16" ht="18" customHeight="1" x14ac:dyDescent="0.25">
      <c r="A27" s="74" t="s">
        <v>31</v>
      </c>
      <c r="B27" s="84" t="s">
        <v>16</v>
      </c>
      <c r="C27" s="84" t="s">
        <v>8</v>
      </c>
      <c r="D27" s="7"/>
      <c r="E27" s="9"/>
      <c r="G27" s="172"/>
      <c r="H27" s="169"/>
      <c r="I27" s="169"/>
      <c r="J27" s="169"/>
      <c r="K27" s="139"/>
      <c r="L27" s="139"/>
      <c r="M27" s="140"/>
      <c r="N27" s="152"/>
      <c r="O27" s="152"/>
      <c r="P27" s="152"/>
    </row>
    <row r="28" spans="1:16" ht="18" customHeight="1" x14ac:dyDescent="0.25">
      <c r="A28" s="120" t="s">
        <v>105</v>
      </c>
      <c r="B28" s="211">
        <f>P9</f>
        <v>40.971174004192868</v>
      </c>
      <c r="C28" s="131">
        <f>B28*B6</f>
        <v>114.71928721174002</v>
      </c>
      <c r="D28" s="26" t="s">
        <v>123</v>
      </c>
      <c r="E28" s="9"/>
      <c r="G28" s="172"/>
      <c r="H28" s="169"/>
      <c r="I28" s="169"/>
      <c r="J28" s="169"/>
      <c r="K28" s="139"/>
      <c r="L28" s="139"/>
      <c r="M28" s="140"/>
      <c r="N28" s="152"/>
      <c r="O28" s="152"/>
      <c r="P28" s="152"/>
    </row>
    <row r="29" spans="1:16" ht="18" customHeight="1" x14ac:dyDescent="0.25">
      <c r="A29" s="15" t="s">
        <v>102</v>
      </c>
      <c r="B29" s="5">
        <f>B7*B28</f>
        <v>6.14567610062893</v>
      </c>
      <c r="C29" s="5">
        <f>(B6-B8)*B28</f>
        <v>17.207893081761</v>
      </c>
      <c r="D29" s="126" t="s">
        <v>134</v>
      </c>
      <c r="E29" s="9"/>
      <c r="G29" s="172"/>
      <c r="H29" s="169"/>
      <c r="I29" s="169"/>
      <c r="J29" s="169"/>
      <c r="K29" s="139"/>
      <c r="L29" s="139"/>
      <c r="M29" s="140"/>
      <c r="N29" s="156"/>
      <c r="O29" s="152"/>
      <c r="P29" s="152"/>
    </row>
    <row r="30" spans="1:16" ht="18" customHeight="1" x14ac:dyDescent="0.25">
      <c r="A30" s="15" t="s">
        <v>103</v>
      </c>
      <c r="B30" s="5">
        <f>B24</f>
        <v>13</v>
      </c>
      <c r="C30" s="5">
        <f>C24</f>
        <v>36.399999999999991</v>
      </c>
      <c r="D30" s="7"/>
      <c r="E30" s="9"/>
      <c r="G30" s="172"/>
      <c r="H30" s="169"/>
      <c r="I30" s="169"/>
      <c r="J30" s="169"/>
      <c r="K30" s="139"/>
      <c r="L30" s="139"/>
      <c r="M30" s="140"/>
      <c r="N30" s="156"/>
      <c r="O30" s="152"/>
      <c r="P30" s="152"/>
    </row>
    <row r="31" spans="1:16" ht="18" customHeight="1" x14ac:dyDescent="0.25">
      <c r="A31" s="121" t="s">
        <v>151</v>
      </c>
      <c r="B31" s="163">
        <v>0</v>
      </c>
      <c r="C31" s="5">
        <f>B31*B8</f>
        <v>0</v>
      </c>
      <c r="D31" s="7" t="s">
        <v>135</v>
      </c>
      <c r="E31" s="9"/>
      <c r="G31" s="133"/>
      <c r="H31" s="169"/>
      <c r="I31" s="169"/>
      <c r="J31" s="169"/>
      <c r="K31" s="139"/>
      <c r="L31" s="139"/>
      <c r="M31" s="140"/>
      <c r="N31" s="156"/>
      <c r="O31" s="152"/>
      <c r="P31" s="152"/>
    </row>
    <row r="32" spans="1:16" ht="30" customHeight="1" x14ac:dyDescent="0.25">
      <c r="A32" s="120" t="s">
        <v>127</v>
      </c>
      <c r="B32" s="118">
        <f>B28-B29-B30-B31</f>
        <v>21.825497903563935</v>
      </c>
      <c r="C32" s="118">
        <f>C28-C29-C30-C31</f>
        <v>61.111394129979033</v>
      </c>
      <c r="D32" s="197" t="s">
        <v>133</v>
      </c>
      <c r="E32" s="198"/>
      <c r="G32" s="133"/>
      <c r="H32" s="169"/>
      <c r="I32" s="169"/>
      <c r="J32" s="169"/>
      <c r="K32" s="139"/>
      <c r="L32" s="139"/>
      <c r="M32" s="140"/>
      <c r="N32" s="156"/>
      <c r="O32" s="152"/>
      <c r="P32" s="152"/>
    </row>
    <row r="33" spans="1:16" ht="18" customHeight="1" x14ac:dyDescent="0.25">
      <c r="A33" s="12"/>
      <c r="B33" s="7"/>
      <c r="C33" s="7"/>
      <c r="D33" s="7"/>
      <c r="E33" s="9"/>
      <c r="G33" s="133"/>
      <c r="H33" s="169"/>
      <c r="I33" s="169"/>
      <c r="J33" s="169"/>
      <c r="K33" s="139"/>
      <c r="L33" s="139"/>
      <c r="M33" s="140"/>
      <c r="N33" s="156"/>
      <c r="O33" s="152"/>
      <c r="P33" s="152"/>
    </row>
    <row r="34" spans="1:16" ht="18" customHeight="1" x14ac:dyDescent="0.25">
      <c r="A34" s="194" t="s">
        <v>150</v>
      </c>
      <c r="B34" s="195"/>
      <c r="C34" s="195"/>
      <c r="D34" s="195"/>
      <c r="E34" s="196"/>
      <c r="G34" s="133"/>
      <c r="H34" s="169"/>
      <c r="I34" s="169"/>
      <c r="J34" s="169"/>
      <c r="K34" s="139"/>
      <c r="L34" s="139"/>
      <c r="M34" s="140"/>
      <c r="N34" s="156"/>
      <c r="O34" s="152"/>
      <c r="P34" s="152"/>
    </row>
    <row r="35" spans="1:16" x14ac:dyDescent="0.25">
      <c r="A35" s="194"/>
      <c r="B35" s="195"/>
      <c r="C35" s="195"/>
      <c r="D35" s="195"/>
      <c r="E35" s="196"/>
      <c r="G35" s="152"/>
      <c r="H35" s="152"/>
      <c r="I35" s="152"/>
      <c r="J35" s="152"/>
      <c r="K35" s="152"/>
      <c r="L35" s="152"/>
      <c r="M35" s="152"/>
      <c r="N35" s="156"/>
      <c r="O35" s="152"/>
      <c r="P35" s="152"/>
    </row>
    <row r="36" spans="1:16" x14ac:dyDescent="0.25">
      <c r="A36" s="12"/>
      <c r="B36" s="7"/>
      <c r="C36" s="7"/>
      <c r="D36" s="7"/>
      <c r="E36" s="125"/>
      <c r="G36" s="152"/>
      <c r="H36" s="152"/>
      <c r="I36" s="152"/>
      <c r="J36" s="152"/>
      <c r="K36" s="152"/>
      <c r="L36" s="152"/>
      <c r="M36" s="152"/>
      <c r="N36" s="156"/>
      <c r="O36" s="152"/>
      <c r="P36" s="152"/>
    </row>
    <row r="37" spans="1:16" x14ac:dyDescent="0.25">
      <c r="A37" s="12"/>
      <c r="B37" s="7"/>
      <c r="C37" s="7"/>
      <c r="D37" s="7"/>
      <c r="E37" s="9"/>
      <c r="G37" s="152"/>
      <c r="H37" s="152"/>
      <c r="I37" s="152"/>
      <c r="J37" s="152"/>
      <c r="K37" s="152"/>
      <c r="L37" s="152"/>
      <c r="M37" s="152"/>
      <c r="N37" s="156"/>
      <c r="O37" s="152"/>
      <c r="P37" s="152"/>
    </row>
    <row r="38" spans="1:16" x14ac:dyDescent="0.25">
      <c r="A38" s="12"/>
      <c r="B38" s="7"/>
      <c r="C38" s="7"/>
      <c r="D38" s="7"/>
      <c r="E38" s="9"/>
      <c r="N38" s="7"/>
    </row>
    <row r="39" spans="1:16" x14ac:dyDescent="0.25">
      <c r="A39" s="117"/>
      <c r="B39" s="116"/>
      <c r="C39" s="27"/>
      <c r="D39" s="7"/>
      <c r="E39" s="9"/>
      <c r="N39" s="7"/>
    </row>
    <row r="40" spans="1:16" x14ac:dyDescent="0.25">
      <c r="A40" s="12"/>
      <c r="B40" s="7"/>
      <c r="C40" s="7"/>
      <c r="D40" s="7"/>
      <c r="E40" s="9"/>
      <c r="N40" s="7"/>
    </row>
    <row r="41" spans="1:16" x14ac:dyDescent="0.25">
      <c r="A41" s="12"/>
      <c r="B41" s="7"/>
      <c r="C41" s="7"/>
      <c r="D41" s="7"/>
      <c r="E41" s="9"/>
      <c r="N41" s="7"/>
    </row>
    <row r="42" spans="1:16" x14ac:dyDescent="0.25">
      <c r="A42" s="117"/>
      <c r="B42" s="7"/>
      <c r="C42" s="27"/>
      <c r="D42" s="26"/>
      <c r="E42" s="9"/>
      <c r="N42" s="7"/>
    </row>
    <row r="43" spans="1:16" ht="15.75" thickBot="1" x14ac:dyDescent="0.3">
      <c r="A43" s="16"/>
      <c r="B43" s="2"/>
      <c r="C43" s="2"/>
      <c r="D43" s="2"/>
      <c r="E43" s="18"/>
      <c r="N43" s="7"/>
    </row>
    <row r="44" spans="1:16" x14ac:dyDescent="0.25">
      <c r="N44" s="7"/>
    </row>
    <row r="45" spans="1:16" x14ac:dyDescent="0.25">
      <c r="B45" s="19"/>
    </row>
    <row r="46" spans="1:16" x14ac:dyDescent="0.25">
      <c r="B46" s="19"/>
      <c r="C46" s="1"/>
    </row>
    <row r="47" spans="1:16" x14ac:dyDescent="0.25">
      <c r="B47" s="19"/>
      <c r="C47" s="1"/>
    </row>
    <row r="48" spans="1:16" x14ac:dyDescent="0.25">
      <c r="B48" s="35"/>
    </row>
    <row r="49" spans="2:2" x14ac:dyDescent="0.25">
      <c r="B49" s="19"/>
    </row>
    <row r="50" spans="2:2" x14ac:dyDescent="0.25">
      <c r="B50" s="7"/>
    </row>
  </sheetData>
  <sheetProtection algorithmName="SHA-512" hashValue="VzSa8tyZXnBY1/sWQf2Ev8e+I+Fg1PlJDcnfVEiKLmt9GTJsbfm90nooAULh5uhD0ilF1eh3tHAoUKXo7pMxqA==" saltValue="YkNwp8ug0Q3OAeGXQD49HQ==" spinCount="100000" sheet="1" objects="1" scenarios="1"/>
  <mergeCells count="15">
    <mergeCell ref="A34:E35"/>
    <mergeCell ref="D32:E32"/>
    <mergeCell ref="G11:P13"/>
    <mergeCell ref="A3:E3"/>
    <mergeCell ref="G3:O3"/>
    <mergeCell ref="N5:N6"/>
    <mergeCell ref="O5:O6"/>
    <mergeCell ref="P5:P6"/>
    <mergeCell ref="G5:G6"/>
    <mergeCell ref="H5:H6"/>
    <mergeCell ref="I5:I6"/>
    <mergeCell ref="J5:J6"/>
    <mergeCell ref="K5:K6"/>
    <mergeCell ref="L5:L6"/>
    <mergeCell ref="M5:M6"/>
  </mergeCells>
  <hyperlinks>
    <hyperlink ref="G17" r:id="rId1" xr:uid="{00000000-0004-0000-0100-000000000000}"/>
    <hyperlink ref="G18" r:id="rId2" xr:uid="{00000000-0004-0000-0100-000001000000}"/>
    <hyperlink ref="G21" r:id="rId3" xr:uid="{00000000-0004-0000-0100-000002000000}"/>
    <hyperlink ref="G20" r:id="rId4" xr:uid="{00000000-0004-0000-0100-000003000000}"/>
    <hyperlink ref="G19" r:id="rId5" xr:uid="{00000000-0004-0000-0100-000004000000}"/>
    <hyperlink ref="G23" r:id="rId6" xr:uid="{00000000-0004-0000-0100-000005000000}"/>
    <hyperlink ref="G24" r:id="rId7" xr:uid="{00000000-0004-0000-0100-000006000000}"/>
  </hyperlinks>
  <pageMargins left="0.7" right="0.7" top="0.75" bottom="0.75" header="0.3" footer="0.3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H10"/>
  <sheetViews>
    <sheetView workbookViewId="0">
      <selection activeCell="E6" sqref="E6"/>
    </sheetView>
  </sheetViews>
  <sheetFormatPr defaultRowHeight="15" x14ac:dyDescent="0.25"/>
  <cols>
    <col min="11" max="11" width="32.42578125" customWidth="1"/>
    <col min="12" max="13" width="10.7109375" customWidth="1"/>
    <col min="14" max="14" width="12.7109375" customWidth="1"/>
    <col min="15" max="15" width="12.85546875" customWidth="1"/>
    <col min="16" max="20" width="10.7109375" customWidth="1"/>
    <col min="21" max="21" width="11.85546875" customWidth="1"/>
  </cols>
  <sheetData>
    <row r="3" spans="4:8" x14ac:dyDescent="0.25">
      <c r="D3" t="s">
        <v>81</v>
      </c>
    </row>
    <row r="4" spans="4:8" x14ac:dyDescent="0.25">
      <c r="D4" t="s">
        <v>80</v>
      </c>
    </row>
    <row r="6" spans="4:8" x14ac:dyDescent="0.25">
      <c r="D6" s="69" t="s">
        <v>78</v>
      </c>
      <c r="E6" s="79">
        <f t="array" ref="E6:F7">TRANSPOSE('Buyer Perspective'!I7:J8)</f>
        <v>0.54</v>
      </c>
      <c r="F6" s="77">
        <v>0.92</v>
      </c>
      <c r="G6" s="69" t="s">
        <v>79</v>
      </c>
      <c r="H6" s="82">
        <f t="array" ref="H6:H7">'Buyer Perspective'!B15:B16</f>
        <v>448</v>
      </c>
    </row>
    <row r="7" spans="4:8" x14ac:dyDescent="0.25">
      <c r="E7" s="79">
        <v>0.22</v>
      </c>
      <c r="F7" s="132">
        <v>0.1</v>
      </c>
      <c r="H7" s="78">
        <v>65.099999999999994</v>
      </c>
    </row>
    <row r="9" spans="4:8" x14ac:dyDescent="0.25">
      <c r="D9" s="69" t="s">
        <v>76</v>
      </c>
      <c r="E9" s="80">
        <f t="array" ref="E9:F10">MINVERSE(E6:F7)</f>
        <v>-0.67385444743935308</v>
      </c>
      <c r="F9" s="81">
        <v>6.1994609164420478</v>
      </c>
      <c r="G9" s="69" t="s">
        <v>77</v>
      </c>
      <c r="H9" s="82">
        <f t="array" ref="H9:H10">MMULT(E9:F10,H6:H7)</f>
        <v>101.69811320754712</v>
      </c>
    </row>
    <row r="10" spans="4:8" x14ac:dyDescent="0.25">
      <c r="E10" s="80">
        <v>1.4824797843665767</v>
      </c>
      <c r="F10" s="81">
        <v>-3.6388140161725064</v>
      </c>
      <c r="H10" s="82">
        <v>427.2641509433962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Owner Perspective</vt:lpstr>
      <vt:lpstr>Buyer Perspective</vt:lpstr>
      <vt:lpstr>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robinreid</dc:creator>
  <cp:lastModifiedBy>robinreid</cp:lastModifiedBy>
  <dcterms:created xsi:type="dcterms:W3CDTF">2015-07-23T15:31:25Z</dcterms:created>
  <dcterms:modified xsi:type="dcterms:W3CDTF">2018-08-02T16:45:34Z</dcterms:modified>
</cp:coreProperties>
</file>