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C:\Users\GTonsor\Desktop\"/>
    </mc:Choice>
  </mc:AlternateContent>
  <workbookProtection workbookAlgorithmName="SHA-512" workbookHashValue="tjdkyvbsfAQEUA0xjSBgoqyZrf+7Kg62mRyIrhPV0MnSN395uFecujL+IGe1Ei/7HWODF6P/79wkJl1vGxjDXw==" workbookSaltValue="aJmargNUl/WJzLFXMm3bwg==" workbookSpinCount="100000" lockStructure="1"/>
  <bookViews>
    <workbookView xWindow="0" yWindow="0" windowWidth="28800" windowHeight="11730"/>
  </bookViews>
  <sheets>
    <sheet name="Introduction" sheetId="8" r:id="rId1"/>
    <sheet name="Prices" sheetId="2" r:id="rId2"/>
    <sheet name="Feed" sheetId="4" r:id="rId3"/>
    <sheet name="Cow-Calf" sheetId="3" r:id="rId4"/>
    <sheet name="Backgrounding" sheetId="7" r:id="rId5"/>
    <sheet name="Stocker" sheetId="5" r:id="rId6"/>
    <sheet name="Feedlot" sheetId="6" r:id="rId7"/>
  </sheets>
  <externalReferences>
    <externalReference r:id="rId8"/>
    <externalReference r:id="rId9"/>
  </externalReferences>
  <definedNames>
    <definedName name="data">[1]kcd!$B$10:$AZ$1374</definedName>
    <definedName name="price_selections">Prices!$A$1:$A$2</definedName>
    <definedName name="_xlnm.Print_Area" localSheetId="4">Backgrounding!$A$1:$J$132</definedName>
    <definedName name="_xlnm.Print_Area" localSheetId="3">'Cow-Calf'!$A$1:$J$136</definedName>
    <definedName name="_xlnm.Print_Area" localSheetId="2">Feed!$B$1:$L$30</definedName>
    <definedName name="_xlnm.Print_Area" localSheetId="6">Feedlot!$A$1:$J$132</definedName>
    <definedName name="_xlnm.Print_Area" localSheetId="0">Introduction!$A$1:$M$57</definedName>
    <definedName name="_xlnm.Print_Area" localSheetId="1">Prices!$A$3:$D$22</definedName>
    <definedName name="_xlnm.Print_Area" localSheetId="5">Stocker!$A$1:$J$134</definedName>
    <definedName name="Z_7F8F69BA_F1D1_4483_B535_1A9BCCCC12B7_.wvu.PrintArea" localSheetId="0" hidden="1">Introduction!$B$2:$L$43</definedName>
    <definedName name="Z_7F8F69BA_F1D1_4483_B535_1A9BCCCC12B7_.wvu.Rows" localSheetId="0" hidden="1">Introduction!#REF!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6" l="1"/>
  <c r="C1" i="5"/>
  <c r="C1" i="7"/>
  <c r="C1" i="3"/>
  <c r="C23" i="2"/>
  <c r="C18" i="2"/>
  <c r="C19" i="2"/>
  <c r="C20" i="2"/>
  <c r="C21" i="2"/>
  <c r="C17" i="2"/>
  <c r="C10" i="2"/>
  <c r="C11" i="2"/>
  <c r="C12" i="2"/>
  <c r="C13" i="2"/>
  <c r="C14" i="2"/>
  <c r="C15" i="2"/>
  <c r="C9" i="2"/>
  <c r="C6" i="2"/>
  <c r="C7" i="2"/>
  <c r="C5" i="2"/>
  <c r="B5" i="2"/>
  <c r="B18" i="2"/>
  <c r="B19" i="2"/>
  <c r="B23" i="2" s="1"/>
  <c r="B20" i="2"/>
  <c r="B21" i="2"/>
  <c r="B22" i="2"/>
  <c r="B17" i="2"/>
  <c r="B10" i="2"/>
  <c r="B11" i="2"/>
  <c r="B12" i="2"/>
  <c r="B13" i="2"/>
  <c r="B14" i="2"/>
  <c r="B15" i="2"/>
  <c r="B9" i="2"/>
  <c r="B6" i="2"/>
  <c r="B7" i="2"/>
  <c r="C4" i="2"/>
  <c r="B4" i="2"/>
  <c r="C22" i="2" l="1"/>
  <c r="B8" i="6" l="1"/>
  <c r="J25" i="6" l="1"/>
  <c r="J22" i="6"/>
  <c r="J23" i="6"/>
  <c r="J24" i="6"/>
  <c r="J26" i="7"/>
  <c r="J27" i="7"/>
  <c r="J25" i="7"/>
  <c r="B114" i="6" l="1"/>
  <c r="B115" i="5"/>
  <c r="B115" i="7"/>
  <c r="B117" i="3"/>
  <c r="E22" i="7" l="1"/>
  <c r="B10" i="7" l="1"/>
  <c r="A126" i="7"/>
  <c r="C123" i="7"/>
  <c r="A123" i="7"/>
  <c r="B123" i="7" l="1"/>
  <c r="A124" i="7" l="1"/>
  <c r="A127" i="7"/>
  <c r="C124" i="7"/>
  <c r="B124" i="7" l="1"/>
  <c r="I44" i="6" l="1"/>
  <c r="I45" i="5"/>
  <c r="J45" i="7"/>
  <c r="I47" i="3"/>
  <c r="C129" i="3"/>
  <c r="B129" i="3"/>
  <c r="C123" i="6"/>
  <c r="B123" i="6"/>
  <c r="C126" i="3"/>
  <c r="B126" i="3"/>
  <c r="C119" i="5"/>
  <c r="B123" i="3"/>
  <c r="B122" i="3"/>
  <c r="A126" i="3"/>
  <c r="A122" i="3" l="1"/>
  <c r="A120" i="7"/>
  <c r="A119" i="6"/>
  <c r="B120" i="3"/>
  <c r="B118" i="7"/>
  <c r="B117" i="6"/>
  <c r="B118" i="5"/>
  <c r="A123" i="3"/>
  <c r="A121" i="7"/>
  <c r="A120" i="6"/>
  <c r="A121" i="6"/>
  <c r="A121" i="5"/>
  <c r="A122" i="7"/>
  <c r="C118" i="7"/>
  <c r="C117" i="6"/>
  <c r="C118" i="5"/>
  <c r="C122" i="3"/>
  <c r="C119" i="6"/>
  <c r="C120" i="7"/>
  <c r="B122" i="6"/>
  <c r="B123" i="5"/>
  <c r="B120" i="7"/>
  <c r="B119" i="6"/>
  <c r="A119" i="3"/>
  <c r="A117" i="7"/>
  <c r="A116" i="6"/>
  <c r="A117" i="5"/>
  <c r="A120" i="3"/>
  <c r="A117" i="6"/>
  <c r="A118" i="5"/>
  <c r="A118" i="7"/>
  <c r="A124" i="3"/>
  <c r="A119" i="5"/>
  <c r="B117" i="5"/>
  <c r="B117" i="7"/>
  <c r="B116" i="6"/>
  <c r="B121" i="3"/>
  <c r="B118" i="6"/>
  <c r="B119" i="7"/>
  <c r="B121" i="7"/>
  <c r="B120" i="6"/>
  <c r="B125" i="3"/>
  <c r="B120" i="5"/>
  <c r="B122" i="7"/>
  <c r="B121" i="6"/>
  <c r="B121" i="5"/>
  <c r="C120" i="3"/>
  <c r="B124" i="3"/>
  <c r="B119" i="5"/>
  <c r="C122" i="6"/>
  <c r="C123" i="5"/>
  <c r="A121" i="3"/>
  <c r="A118" i="6"/>
  <c r="A119" i="7"/>
  <c r="A125" i="3"/>
  <c r="A120" i="5"/>
  <c r="C119" i="3"/>
  <c r="C117" i="5"/>
  <c r="C116" i="6"/>
  <c r="C117" i="7"/>
  <c r="C121" i="3"/>
  <c r="C119" i="7"/>
  <c r="C118" i="6"/>
  <c r="C123" i="3"/>
  <c r="C120" i="6"/>
  <c r="C121" i="7"/>
  <c r="C125" i="3"/>
  <c r="C120" i="5"/>
  <c r="C121" i="5"/>
  <c r="C122" i="7"/>
  <c r="C121" i="6"/>
  <c r="C124" i="3"/>
  <c r="B119" i="3"/>
  <c r="B14" i="3"/>
  <c r="B118" i="3" l="1"/>
  <c r="B116" i="5"/>
  <c r="B116" i="7"/>
  <c r="B115" i="6"/>
  <c r="A118" i="3"/>
  <c r="A116" i="7"/>
  <c r="A116" i="5"/>
  <c r="A115" i="6"/>
  <c r="C118" i="3"/>
  <c r="C115" i="6"/>
  <c r="C116" i="5"/>
  <c r="C116" i="7"/>
  <c r="A126" i="6"/>
  <c r="A129" i="3"/>
  <c r="A123" i="6"/>
  <c r="C127" i="3"/>
  <c r="B127" i="3"/>
  <c r="A127" i="3"/>
  <c r="A128" i="3" l="1"/>
  <c r="B122" i="5"/>
  <c r="A122" i="5"/>
  <c r="C122" i="5"/>
  <c r="A126" i="5"/>
  <c r="A125" i="6"/>
  <c r="B128" i="3"/>
  <c r="A131" i="3"/>
  <c r="C128" i="3"/>
  <c r="A123" i="5"/>
  <c r="A122" i="6"/>
  <c r="A125" i="5"/>
  <c r="I15" i="4"/>
  <c r="B9" i="3" l="1"/>
  <c r="B22" i="3"/>
  <c r="B18" i="3"/>
  <c r="B17" i="6" l="1"/>
  <c r="B20" i="5"/>
  <c r="B20" i="7"/>
  <c r="B15" i="3"/>
  <c r="B17" i="5"/>
  <c r="B17" i="7"/>
  <c r="B8" i="3"/>
  <c r="B16" i="5"/>
  <c r="B16" i="7"/>
  <c r="J18" i="6" l="1"/>
  <c r="J21" i="5"/>
  <c r="J21" i="7"/>
  <c r="J19" i="3"/>
  <c r="E22" i="5" l="1"/>
  <c r="B101" i="3" l="1"/>
  <c r="C11" i="4"/>
  <c r="J23" i="3" l="1"/>
  <c r="J22" i="7" l="1"/>
  <c r="E16" i="7"/>
  <c r="E17" i="7"/>
  <c r="E20" i="5"/>
  <c r="J17" i="7" l="1"/>
  <c r="J16" i="7"/>
  <c r="E20" i="7"/>
  <c r="B98" i="6" l="1"/>
  <c r="B99" i="6"/>
  <c r="B100" i="6"/>
  <c r="B102" i="6"/>
  <c r="B103" i="6"/>
  <c r="B104" i="6"/>
  <c r="B106" i="6"/>
  <c r="B100" i="5"/>
  <c r="B101" i="5"/>
  <c r="B102" i="5"/>
  <c r="B103" i="5"/>
  <c r="B105" i="5"/>
  <c r="B106" i="5"/>
  <c r="B107" i="5"/>
  <c r="B109" i="5"/>
  <c r="B99" i="5"/>
  <c r="B100" i="7"/>
  <c r="B101" i="7"/>
  <c r="B102" i="7"/>
  <c r="B103" i="7"/>
  <c r="B105" i="7"/>
  <c r="B106" i="7"/>
  <c r="B107" i="7"/>
  <c r="B109" i="7"/>
  <c r="B99" i="7"/>
  <c r="B102" i="3"/>
  <c r="B103" i="3"/>
  <c r="B104" i="3"/>
  <c r="B105" i="3"/>
  <c r="B107" i="3"/>
  <c r="B108" i="3"/>
  <c r="B109" i="3"/>
  <c r="B111" i="3"/>
  <c r="I91" i="6" l="1"/>
  <c r="I132" i="6" s="1"/>
  <c r="I92" i="5"/>
  <c r="I134" i="5" s="1"/>
  <c r="J92" i="7" l="1"/>
  <c r="J132" i="7" s="1"/>
  <c r="I14" i="4"/>
  <c r="B19" i="5" s="1"/>
  <c r="E19" i="5" l="1"/>
  <c r="J19" i="5" s="1"/>
  <c r="B108" i="5"/>
  <c r="I23" i="4"/>
  <c r="B15" i="6" s="1"/>
  <c r="I10" i="4"/>
  <c r="B18" i="5" s="1"/>
  <c r="C25" i="4"/>
  <c r="B18" i="7" s="1"/>
  <c r="C10" i="4"/>
  <c r="B16" i="3" s="1"/>
  <c r="B101" i="6" l="1"/>
  <c r="B106" i="3"/>
  <c r="B104" i="7"/>
  <c r="E18" i="5"/>
  <c r="J18" i="5" s="1"/>
  <c r="B104" i="5"/>
  <c r="E15" i="6"/>
  <c r="E18" i="7"/>
  <c r="E17" i="6" l="1"/>
  <c r="I27" i="4"/>
  <c r="B16" i="6" s="1"/>
  <c r="J19" i="6"/>
  <c r="E17" i="5"/>
  <c r="E16" i="5"/>
  <c r="J22" i="5"/>
  <c r="B105" i="6" l="1"/>
  <c r="E16" i="6"/>
  <c r="J17" i="6"/>
  <c r="J17" i="5"/>
  <c r="J16" i="5"/>
  <c r="J20" i="5"/>
  <c r="C29" i="4"/>
  <c r="B19" i="7" s="1"/>
  <c r="E10" i="7"/>
  <c r="E9" i="7" s="1"/>
  <c r="B9" i="7" s="1"/>
  <c r="J20" i="3"/>
  <c r="C14" i="4"/>
  <c r="B17" i="3" s="1"/>
  <c r="J5" i="7" l="1"/>
  <c r="E10" i="5"/>
  <c r="E17" i="3"/>
  <c r="B110" i="3"/>
  <c r="B108" i="7"/>
  <c r="E19" i="7"/>
  <c r="J16" i="6"/>
  <c r="J34" i="6"/>
  <c r="J20" i="7"/>
  <c r="J23" i="7" l="1"/>
  <c r="J28" i="7"/>
  <c r="J24" i="7"/>
  <c r="B10" i="5"/>
  <c r="E9" i="5"/>
  <c r="B9" i="5" s="1"/>
  <c r="J9" i="7"/>
  <c r="J19" i="7"/>
  <c r="E9" i="6" l="1"/>
  <c r="B9" i="6" s="1"/>
  <c r="J9" i="5"/>
  <c r="J5" i="5"/>
  <c r="J37" i="5"/>
  <c r="J23" i="5" l="1"/>
  <c r="J26" i="5"/>
  <c r="J27" i="5"/>
  <c r="J28" i="5"/>
  <c r="J25" i="5"/>
  <c r="E8" i="6"/>
  <c r="J9" i="6"/>
  <c r="J10" i="6" s="1"/>
  <c r="J37" i="7"/>
  <c r="I94" i="3"/>
  <c r="I136" i="3" s="1"/>
  <c r="J5" i="6" l="1"/>
  <c r="J8" i="6"/>
  <c r="J12" i="6" s="1"/>
  <c r="J29" i="5"/>
  <c r="J39" i="5" s="1"/>
  <c r="E18" i="3"/>
  <c r="E15" i="3"/>
  <c r="E16" i="3"/>
  <c r="E14" i="3"/>
  <c r="J17" i="3" l="1"/>
  <c r="C3" i="2"/>
  <c r="B3" i="2"/>
  <c r="G1" i="6" l="1"/>
  <c r="G1" i="5"/>
  <c r="G1" i="3"/>
  <c r="G1" i="7"/>
  <c r="J15" i="3"/>
  <c r="J14" i="3" l="1"/>
  <c r="E22" i="3"/>
  <c r="J18" i="3" l="1"/>
  <c r="H9" i="3" l="1"/>
  <c r="J9" i="3" s="1"/>
  <c r="J38" i="3"/>
  <c r="H8" i="3"/>
  <c r="J18" i="7" l="1"/>
  <c r="J29" i="7" s="1"/>
  <c r="J39" i="7" s="1"/>
  <c r="J16" i="3"/>
  <c r="J15" i="6"/>
  <c r="J26" i="6" s="1"/>
  <c r="J36" i="6" l="1"/>
  <c r="J39" i="6" s="1"/>
  <c r="J38" i="6"/>
  <c r="J10" i="5" l="1"/>
  <c r="J11" i="5" s="1"/>
  <c r="J13" i="5" s="1"/>
  <c r="J8" i="3"/>
  <c r="J11" i="3" s="1"/>
  <c r="J10" i="7"/>
  <c r="J11" i="7" s="1"/>
  <c r="J13" i="7" s="1"/>
  <c r="J22" i="3"/>
  <c r="J30" i="3" s="1"/>
  <c r="J40" i="3" s="1"/>
  <c r="J41" i="5" l="1"/>
  <c r="J42" i="5"/>
  <c r="J42" i="3"/>
  <c r="J43" i="3"/>
  <c r="J41" i="7"/>
  <c r="J42" i="7"/>
</calcChain>
</file>

<file path=xl/comments1.xml><?xml version="1.0" encoding="utf-8"?>
<comments xmlns="http://schemas.openxmlformats.org/spreadsheetml/2006/main">
  <authors>
    <author>Glynn Tonsor</author>
  </authors>
  <commentList>
    <comment ref="D7" authorId="0" shapeId="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D10"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D11"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List>
</comments>
</file>

<file path=xl/sharedStrings.xml><?xml version="1.0" encoding="utf-8"?>
<sst xmlns="http://schemas.openxmlformats.org/spreadsheetml/2006/main" count="620" uniqueCount="167">
  <si>
    <t>Revenue</t>
  </si>
  <si>
    <t>Production Efficiency Information</t>
  </si>
  <si>
    <t>Price</t>
  </si>
  <si>
    <t>Unit</t>
  </si>
  <si>
    <t>lbs</t>
  </si>
  <si>
    <t xml:space="preserve"> x</t>
  </si>
  <si>
    <t xml:space="preserve"> =</t>
  </si>
  <si>
    <t xml:space="preserve">  Gross Income</t>
  </si>
  <si>
    <t>Variable Costs</t>
  </si>
  <si>
    <t>Fixed Costs</t>
  </si>
  <si>
    <t xml:space="preserve">  Total Fixed Costs</t>
  </si>
  <si>
    <t>Total Costs</t>
  </si>
  <si>
    <t xml:space="preserve">  Total Variable Costs</t>
  </si>
  <si>
    <t xml:space="preserve">Income Over Total Costs </t>
  </si>
  <si>
    <t>http://www.usda.gov/oce/commodity/projections/</t>
  </si>
  <si>
    <t>Fed cattle change imposed</t>
  </si>
  <si>
    <t>hd</t>
  </si>
  <si>
    <t>Qty</t>
  </si>
  <si>
    <t>Weaning Percentage</t>
  </si>
  <si>
    <t>Total per Year</t>
  </si>
  <si>
    <t>Cull Cows</t>
  </si>
  <si>
    <t>Cow Replacement Percentage</t>
  </si>
  <si>
    <t>Other</t>
  </si>
  <si>
    <t>Pasture</t>
  </si>
  <si>
    <t>Harvested Forage</t>
  </si>
  <si>
    <t>Crop Residue</t>
  </si>
  <si>
    <t>per acre</t>
  </si>
  <si>
    <t>per ton</t>
  </si>
  <si>
    <t>Mineral</t>
  </si>
  <si>
    <t>Grain/Protein Supplements</t>
  </si>
  <si>
    <t>Labor</t>
  </si>
  <si>
    <t>Vet Medicine/Drugs</t>
  </si>
  <si>
    <t>Utilities,Gas, Fuel, Oil</t>
  </si>
  <si>
    <t>Other variable costs</t>
  </si>
  <si>
    <t>Depreciation</t>
  </si>
  <si>
    <t>Income Over Variable Costs</t>
  </si>
  <si>
    <t>per head</t>
  </si>
  <si>
    <t>Current price *1.10</t>
  </si>
  <si>
    <t>Replacement Females</t>
  </si>
  <si>
    <t>Adjust off of Steer Calf price</t>
  </si>
  <si>
    <t>Five Years Out Prices</t>
  </si>
  <si>
    <t xml:space="preserve"> KSU Beef Cow-Calf Budget</t>
  </si>
  <si>
    <t>Adjust off of Corn Price</t>
  </si>
  <si>
    <t>Salt and Mineral</t>
  </si>
  <si>
    <t>per cwt</t>
  </si>
  <si>
    <r>
      <t xml:space="preserve">Kansas State University, Department of Agricultural Economics - </t>
    </r>
    <r>
      <rPr>
        <b/>
        <i/>
        <sz val="12"/>
        <color rgb="FF7030A0"/>
        <rFont val="Calibri"/>
        <family val="2"/>
        <scheme val="minor"/>
      </rPr>
      <t>www.agmanager.info</t>
    </r>
  </si>
  <si>
    <t>Publication: AM-FMG-CowCalf</t>
  </si>
  <si>
    <t>Purchase price</t>
  </si>
  <si>
    <t>Feeder Sale</t>
  </si>
  <si>
    <t>x</t>
  </si>
  <si>
    <t>=</t>
  </si>
  <si>
    <t>Death Loss</t>
  </si>
  <si>
    <t>Marketing costs</t>
  </si>
  <si>
    <t>Average Daily Gain</t>
  </si>
  <si>
    <t>Days on Feed</t>
  </si>
  <si>
    <t>Alfalfa</t>
  </si>
  <si>
    <t>Days in Backgrounding Lot</t>
  </si>
  <si>
    <t>lbs/day</t>
  </si>
  <si>
    <t>Corn</t>
  </si>
  <si>
    <t>DDG's</t>
  </si>
  <si>
    <t>Soybean Meal</t>
  </si>
  <si>
    <t xml:space="preserve">Cow-Calf Feed Requirements </t>
  </si>
  <si>
    <t>(per cow unit + 16% of developing heifer + 4% of bull)</t>
  </si>
  <si>
    <t xml:space="preserve">Stocker Feed Requirements </t>
  </si>
  <si>
    <t>per hour</t>
  </si>
  <si>
    <t>hours</t>
  </si>
  <si>
    <t>Machinery, Facility/Equip. Repairs</t>
  </si>
  <si>
    <t>Opportunity Cost of Investment</t>
  </si>
  <si>
    <t>Farm/Livestock Insurance</t>
  </si>
  <si>
    <t xml:space="preserve"> KSU Beef Stocker Budget</t>
  </si>
  <si>
    <t>Taxes</t>
  </si>
  <si>
    <t>Gross Return</t>
  </si>
  <si>
    <t>Total Gross Return</t>
  </si>
  <si>
    <t xml:space="preserve">(per animal unit) </t>
  </si>
  <si>
    <t>total acres</t>
  </si>
  <si>
    <t>total tons</t>
  </si>
  <si>
    <t>total lbs</t>
  </si>
  <si>
    <t>Other fixed costs</t>
  </si>
  <si>
    <t>Weaned Calf Sale</t>
  </si>
  <si>
    <t>Total per Year per Cow</t>
  </si>
  <si>
    <t>Total Grain/Protein Supplements</t>
  </si>
  <si>
    <t>Total Harvested Forage</t>
  </si>
  <si>
    <t>Silage</t>
  </si>
  <si>
    <t>Crop Residue Grazing</t>
  </si>
  <si>
    <t>total acres for feeding period</t>
  </si>
  <si>
    <t>(per animal unit)</t>
  </si>
  <si>
    <t>total acres per year</t>
  </si>
  <si>
    <t>total tons per year</t>
  </si>
  <si>
    <t>total lbs per year</t>
  </si>
  <si>
    <t>CATTLE RATIONS TO SET FEED AND GRAZING COSTS</t>
  </si>
  <si>
    <t>total hours</t>
  </si>
  <si>
    <t>Budget Assumptions</t>
  </si>
  <si>
    <t>Five Years Out</t>
  </si>
  <si>
    <t xml:space="preserve"> KSU Beef Backgrounding Budget</t>
  </si>
  <si>
    <t>Publication: AM-FMG-Backgrounding</t>
  </si>
  <si>
    <t>Feeder Animal Sale</t>
  </si>
  <si>
    <t xml:space="preserve">Backgrounding Feed Requirements </t>
  </si>
  <si>
    <t xml:space="preserve"> KSU Beef Finishing Budget</t>
  </si>
  <si>
    <t>Publication: AM-FMG-Finishing</t>
  </si>
  <si>
    <t>Publication: AM-FMG-Stocker</t>
  </si>
  <si>
    <t>Fed Animal Sale</t>
  </si>
  <si>
    <t xml:space="preserve">Finishing Feed Requirements </t>
  </si>
  <si>
    <t>CWT Produced</t>
  </si>
  <si>
    <t>Annual Bull Charge or A.I.</t>
  </si>
  <si>
    <t>Other Livestock Breeding/Marketing</t>
  </si>
  <si>
    <t>total pounds for feeding period</t>
  </si>
  <si>
    <t>total tons for feeding period</t>
  </si>
  <si>
    <t>Days on Grass</t>
  </si>
  <si>
    <t>Equal to 8X the corn price</t>
  </si>
  <si>
    <t>Prairie/Brome Hay</t>
  </si>
  <si>
    <t>Default Cow-Calf Prices</t>
  </si>
  <si>
    <t>Default Backgrounding Prices</t>
  </si>
  <si>
    <t>Default Stocker Prices</t>
  </si>
  <si>
    <t>Default Beef Finishing Prices</t>
  </si>
  <si>
    <t>Cash Interest Paid</t>
  </si>
  <si>
    <t>Other Income</t>
  </si>
  <si>
    <t>Other Feed</t>
  </si>
  <si>
    <t>per unit</t>
  </si>
  <si>
    <t>units</t>
  </si>
  <si>
    <t>KSU-Beef Farm Management Guide Budgets</t>
  </si>
  <si>
    <t>Excel spreadsheets for beef cattle enterprise budgeting to evaluate potential income, costs and profitability</t>
  </si>
  <si>
    <t>INTRODUCTION</t>
  </si>
  <si>
    <t>The Kansas State University cost-return budgets were developed to serve as a barometer of profitability for various livestock industry enterprises.  These budgets are NOT intended to represent any one operation.  Each individual operation should adjust key inputs to reflect their own situation.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</si>
  <si>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</si>
  <si>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</si>
  <si>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</si>
  <si>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</si>
  <si>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</si>
  <si>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</si>
  <si>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</si>
  <si>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</si>
  <si>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</si>
  <si>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</si>
  <si>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</si>
  <si>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</si>
  <si>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</si>
  <si>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</si>
  <si>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ACKNOWLEDGEMENTS:</t>
  </si>
  <si>
    <t>One-Year-Out March Feeder Steers ($/cwt)******</t>
  </si>
  <si>
    <t>******This is a predicted one-year-out March feeder steer price used in the backgrounding budget</t>
  </si>
  <si>
    <r>
      <t xml:space="preserve">The developers would like to thank the K-State Beef Team for their contributions: Dr. Sandy Johnson, Dr. Dale Blasi, Dr. Joel DeRouchey, Dr. Jaymelynn Farney, Dr. Justin Waggoner, and Dr. Bob Weaber  </t>
    </r>
    <r>
      <rPr>
        <b/>
        <i/>
        <sz val="12"/>
        <rFont val="Calibri"/>
        <family val="2"/>
        <scheme val="minor"/>
      </rPr>
      <t>www.KSUBeef.org</t>
    </r>
    <r>
      <rPr>
        <sz val="12"/>
        <rFont val="Calibri"/>
        <family val="2"/>
        <scheme val="minor"/>
      </rPr>
      <t xml:space="preserve">
</t>
    </r>
  </si>
  <si>
    <t>Gas, Fuel, Oil</t>
  </si>
  <si>
    <t>Utilities</t>
  </si>
  <si>
    <t>Click on "2021 Production Year" to change to "Five Years Out Prices"</t>
  </si>
  <si>
    <t>Corn ($/bu)</t>
  </si>
  <si>
    <t>Soybean Meal ($/ton)</t>
  </si>
  <si>
    <t>DDGS ($/ton)</t>
  </si>
  <si>
    <t>Silage ($/ton)</t>
  </si>
  <si>
    <t>Prairie Hay ($/ton)</t>
  </si>
  <si>
    <t>Alfalfa ($/ton)</t>
  </si>
  <si>
    <t>Pasture Rental ($/acre)</t>
  </si>
  <si>
    <t>Crop Residue ($/acre)</t>
  </si>
  <si>
    <t>Beef Cow Mineral ($/ton)</t>
  </si>
  <si>
    <t>Other Beef Mineral ($/ton)</t>
  </si>
  <si>
    <t>Oct. Heifer Calf Price ($/cwt)*</t>
  </si>
  <si>
    <t>Oct. Steer Calves Price ($/cwt)*</t>
  </si>
  <si>
    <t>March Feeder Steers ($/cwt)**</t>
  </si>
  <si>
    <t>July Feeder Steers ($/cwt)***</t>
  </si>
  <si>
    <t>Dec. Fed Cattle ($/cwt)****</t>
  </si>
  <si>
    <t>Beef Cull cow ($/cwt)</t>
  </si>
  <si>
    <t>* This a predicted October price for the budget year</t>
  </si>
  <si>
    <t>** This is a predicted price for the production year</t>
  </si>
  <si>
    <t>***This is a predicted price for the production year</t>
  </si>
  <si>
    <t>****This a predicted price for a Dec. sale of a fed animal</t>
  </si>
  <si>
    <t>Version- 12.27.2021</t>
  </si>
  <si>
    <t>Copyright 2021 AgManager.info, K-State Department of Agricultural Economics</t>
  </si>
  <si>
    <t>2022 Production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</si>
</sst>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0.0%"/>
    <numFmt numFmtId="166" formatCode="0.000"/>
    <numFmt numFmtId="167" formatCode="mm/dd/yy;@"/>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u/>
      <sz val="11"/>
      <color theme="1"/>
      <name val="Calibri"/>
      <family val="2"/>
      <scheme val="minor"/>
    </font>
    <font>
      <b/>
      <sz val="11"/>
      <color rgb="FFFF0000"/>
      <name val="Calibri"/>
      <family val="2"/>
      <scheme val="minor"/>
    </font>
    <font>
      <b/>
      <i/>
      <sz val="11"/>
      <color rgb="FF7030A0"/>
      <name val="Calibri"/>
      <family val="2"/>
      <scheme val="minor"/>
    </font>
    <font>
      <b/>
      <sz val="11"/>
      <color rgb="FF7030A0"/>
      <name val="Calibri"/>
      <family val="2"/>
      <scheme val="minor"/>
    </font>
    <font>
      <b/>
      <sz val="14"/>
      <color rgb="FF7030A0"/>
      <name val="Calibri"/>
      <family val="2"/>
      <scheme val="minor"/>
    </font>
    <font>
      <u/>
      <sz val="11"/>
      <color theme="10"/>
      <name val="Calibri"/>
      <family val="2"/>
      <scheme val="minor"/>
    </font>
    <font>
      <b/>
      <sz val="11"/>
      <name val="Calibri"/>
      <family val="2"/>
      <scheme val="minor"/>
    </font>
    <font>
      <b/>
      <sz val="12"/>
      <color rgb="FF7030A0"/>
      <name val="Calibri"/>
      <family val="2"/>
      <scheme val="minor"/>
    </font>
    <font>
      <b/>
      <i/>
      <sz val="12"/>
      <color rgb="FF7030A0"/>
      <name val="Calibri"/>
      <family val="2"/>
      <scheme val="minor"/>
    </font>
    <font>
      <b/>
      <sz val="22"/>
      <color theme="1"/>
      <name val="Calibri"/>
      <family val="2"/>
      <scheme val="minor"/>
    </font>
    <font>
      <sz val="11"/>
      <color theme="0"/>
      <name val="Calibri"/>
      <family val="2"/>
      <scheme val="minor"/>
    </font>
    <font>
      <b/>
      <sz val="11"/>
      <color rgb="FF000000"/>
      <name val="Calibri"/>
      <family val="2"/>
    </font>
    <font>
      <i/>
      <sz val="9"/>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u/>
      <sz val="12"/>
      <color indexed="12"/>
      <name val="Calibri"/>
      <family val="2"/>
      <scheme val="minor"/>
    </font>
    <font>
      <b/>
      <i/>
      <sz val="12"/>
      <name val="Calibri"/>
      <family val="2"/>
      <scheme val="minor"/>
    </font>
    <font>
      <b/>
      <sz val="10"/>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499984740745262"/>
        <bgColor indexed="64"/>
      </patternFill>
    </fill>
    <fill>
      <patternFill patternType="solid">
        <fgColor rgb="FF7030A0"/>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6">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22"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cellStyleXfs>
  <cellXfs count="216">
    <xf numFmtId="0" fontId="0" fillId="0" borderId="0" xfId="0"/>
    <xf numFmtId="44" fontId="4" fillId="0" borderId="0" xfId="1" applyFont="1" applyAlignment="1">
      <alignment horizontal="center"/>
    </xf>
    <xf numFmtId="0" fontId="2" fillId="0" borderId="0" xfId="0" applyFont="1"/>
    <xf numFmtId="164" fontId="4" fillId="0" borderId="0" xfId="0" applyNumberFormat="1" applyFont="1" applyAlignment="1">
      <alignment horizontal="center"/>
    </xf>
    <xf numFmtId="44" fontId="0" fillId="0" borderId="0" xfId="0" applyNumberFormat="1"/>
    <xf numFmtId="2" fontId="0" fillId="0" borderId="0" xfId="0" applyNumberFormat="1"/>
    <xf numFmtId="0" fontId="7" fillId="0" borderId="0" xfId="0" applyFont="1"/>
    <xf numFmtId="2" fontId="7" fillId="0" borderId="0" xfId="0" applyNumberFormat="1" applyFont="1"/>
    <xf numFmtId="0" fontId="8" fillId="0" borderId="0" xfId="0" applyFont="1"/>
    <xf numFmtId="44" fontId="2" fillId="0" borderId="0" xfId="0" applyNumberFormat="1" applyFont="1"/>
    <xf numFmtId="44" fontId="3" fillId="0" borderId="0" xfId="1" applyFont="1" applyAlignment="1">
      <alignment horizontal="center"/>
    </xf>
    <xf numFmtId="0" fontId="9" fillId="0" borderId="0" xfId="0" applyFont="1"/>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44" fontId="2" fillId="0" borderId="1" xfId="0" applyNumberFormat="1" applyFont="1" applyBorder="1"/>
    <xf numFmtId="44" fontId="2" fillId="0" borderId="0" xfId="0" applyNumberFormat="1" applyFont="1" applyBorder="1"/>
    <xf numFmtId="0" fontId="8" fillId="0" borderId="1" xfId="0" applyFont="1" applyBorder="1"/>
    <xf numFmtId="0" fontId="11" fillId="0" borderId="0" xfId="0" applyFont="1" applyFill="1" applyAlignment="1">
      <alignment horizontal="right"/>
    </xf>
    <xf numFmtId="0" fontId="12" fillId="0" borderId="0" xfId="0" applyFont="1" applyFill="1"/>
    <xf numFmtId="0" fontId="0" fillId="0" borderId="0" xfId="0" applyFill="1"/>
    <xf numFmtId="0" fontId="0" fillId="0" borderId="0" xfId="0" applyFill="1" applyAlignment="1">
      <alignment horizontal="center"/>
    </xf>
    <xf numFmtId="44" fontId="2" fillId="0" borderId="2" xfId="0" applyNumberFormat="1" applyFont="1" applyBorder="1"/>
    <xf numFmtId="0" fontId="2" fillId="2" borderId="0" xfId="0" applyFont="1" applyFill="1"/>
    <xf numFmtId="0" fontId="0" fillId="0" borderId="0" xfId="0" applyAlignment="1">
      <alignment horizontal="left"/>
    </xf>
    <xf numFmtId="2" fontId="4" fillId="0" borderId="0" xfId="0" applyNumberFormat="1" applyFont="1" applyAlignment="1">
      <alignment horizontal="center"/>
    </xf>
    <xf numFmtId="0" fontId="2" fillId="0" borderId="0" xfId="0" applyFont="1" applyBorder="1"/>
    <xf numFmtId="0" fontId="0" fillId="0" borderId="0" xfId="0" applyBorder="1"/>
    <xf numFmtId="0" fontId="0" fillId="0" borderId="0" xfId="0" applyBorder="1" applyAlignment="1">
      <alignment horizontal="center"/>
    </xf>
    <xf numFmtId="1" fontId="4" fillId="0" borderId="0" xfId="0" applyNumberFormat="1" applyFont="1" applyAlignment="1">
      <alignment horizontal="center"/>
    </xf>
    <xf numFmtId="0" fontId="16" fillId="2" borderId="1" xfId="0" applyFont="1" applyFill="1" applyBorder="1" applyAlignment="1">
      <alignment horizontal="left"/>
    </xf>
    <xf numFmtId="0" fontId="2" fillId="3" borderId="0" xfId="0" applyFont="1" applyFill="1"/>
    <xf numFmtId="0" fontId="0" fillId="3" borderId="0" xfId="0" applyFill="1"/>
    <xf numFmtId="0" fontId="14" fillId="3" borderId="0" xfId="2" applyFill="1"/>
    <xf numFmtId="17" fontId="0" fillId="0" borderId="0" xfId="0" applyNumberFormat="1"/>
    <xf numFmtId="0" fontId="7" fillId="0" borderId="1" xfId="0" applyFont="1" applyBorder="1"/>
    <xf numFmtId="164" fontId="4"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0" fontId="0" fillId="0" borderId="0" xfId="0" applyAlignment="1">
      <alignment horizontal="center"/>
    </xf>
    <xf numFmtId="1" fontId="3" fillId="0" borderId="0" xfId="0" applyNumberFormat="1" applyFont="1" applyAlignment="1">
      <alignment horizontal="center"/>
    </xf>
    <xf numFmtId="0" fontId="4" fillId="0" borderId="0" xfId="0" applyFont="1"/>
    <xf numFmtId="0" fontId="0" fillId="0" borderId="0" xfId="0" applyAlignment="1">
      <alignment horizontal="right"/>
    </xf>
    <xf numFmtId="0" fontId="2" fillId="0" borderId="0" xfId="0" applyFont="1" applyBorder="1" applyAlignment="1">
      <alignment horizontal="center" vertical="center" wrapText="1"/>
    </xf>
    <xf numFmtId="164" fontId="3" fillId="0" borderId="0" xfId="0" applyNumberFormat="1" applyFont="1" applyAlignment="1">
      <alignment horizontal="center"/>
    </xf>
    <xf numFmtId="0" fontId="0" fillId="0" borderId="4" xfId="0" applyBorder="1"/>
    <xf numFmtId="0" fontId="2" fillId="4" borderId="4" xfId="0" applyFont="1" applyFill="1" applyBorder="1"/>
    <xf numFmtId="164" fontId="4" fillId="0" borderId="0" xfId="0" applyNumberFormat="1" applyFont="1"/>
    <xf numFmtId="0" fontId="0" fillId="0" borderId="0" xfId="0" applyFill="1" applyBorder="1"/>
    <xf numFmtId="0" fontId="0" fillId="0" borderId="1" xfId="0" applyFill="1" applyBorder="1"/>
    <xf numFmtId="0" fontId="0" fillId="0" borderId="3" xfId="0" applyBorder="1" applyAlignment="1">
      <alignment horizontal="center"/>
    </xf>
    <xf numFmtId="0" fontId="8" fillId="0" borderId="3" xfId="0" applyFont="1" applyBorder="1"/>
    <xf numFmtId="0" fontId="0" fillId="0" borderId="3" xfId="0" applyBorder="1"/>
    <xf numFmtId="44" fontId="2" fillId="0" borderId="3" xfId="0" applyNumberFormat="1" applyFont="1" applyBorder="1"/>
    <xf numFmtId="0" fontId="0" fillId="0" borderId="0" xfId="0" applyAlignment="1">
      <alignment horizontal="center"/>
    </xf>
    <xf numFmtId="2" fontId="3" fillId="0" borderId="0" xfId="0" applyNumberFormat="1" applyFont="1" applyAlignment="1">
      <alignment horizontal="center"/>
    </xf>
    <xf numFmtId="0" fontId="0" fillId="0" borderId="0" xfId="0" applyBorder="1" applyAlignment="1">
      <alignment horizontal="center"/>
    </xf>
    <xf numFmtId="0" fontId="2" fillId="0" borderId="5" xfId="0" applyFont="1" applyBorder="1"/>
    <xf numFmtId="44" fontId="0" fillId="0" borderId="0" xfId="0" applyNumberFormat="1" applyBorder="1"/>
    <xf numFmtId="44" fontId="0" fillId="0" borderId="0" xfId="0" applyNumberFormat="1" applyBorder="1" applyAlignment="1">
      <alignment horizontal="center"/>
    </xf>
    <xf numFmtId="0" fontId="16" fillId="0" borderId="0" xfId="0" applyFont="1" applyFill="1" applyBorder="1" applyAlignment="1">
      <alignment horizontal="left"/>
    </xf>
    <xf numFmtId="0" fontId="16" fillId="0" borderId="0" xfId="0" applyFont="1"/>
    <xf numFmtId="44" fontId="0" fillId="0" borderId="0" xfId="0" applyNumberFormat="1" applyBorder="1" applyAlignment="1">
      <alignment horizontal="center"/>
    </xf>
    <xf numFmtId="0" fontId="0" fillId="0" borderId="0" xfId="0" applyBorder="1" applyAlignment="1">
      <alignment horizontal="center"/>
    </xf>
    <xf numFmtId="0" fontId="0" fillId="0" borderId="0" xfId="0" applyAlignment="1">
      <alignment horizontal="center"/>
    </xf>
    <xf numFmtId="166" fontId="3" fillId="0" borderId="0" xfId="0" applyNumberFormat="1" applyFont="1" applyAlignment="1">
      <alignment horizontal="center"/>
    </xf>
    <xf numFmtId="166" fontId="4" fillId="0" borderId="0" xfId="0" applyNumberFormat="1" applyFont="1" applyAlignment="1">
      <alignment horizontal="center"/>
    </xf>
    <xf numFmtId="0" fontId="10" fillId="0" borderId="0" xfId="0" applyFont="1" applyFill="1"/>
    <xf numFmtId="0" fontId="13" fillId="0" borderId="0" xfId="0" applyFont="1" applyFill="1" applyBorder="1" applyAlignment="1">
      <alignment horizontal="center" vertical="center" wrapText="1"/>
    </xf>
    <xf numFmtId="166" fontId="0" fillId="0" borderId="0" xfId="0" applyNumberFormat="1"/>
    <xf numFmtId="0" fontId="2" fillId="4" borderId="6" xfId="0" applyFont="1" applyFill="1" applyBorder="1"/>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9" xfId="0" applyBorder="1"/>
    <xf numFmtId="0" fontId="7" fillId="0" borderId="0" xfId="0" applyFont="1" applyBorder="1"/>
    <xf numFmtId="0" fontId="0" fillId="0" borderId="9" xfId="0" applyBorder="1" applyAlignment="1">
      <alignment horizontal="right"/>
    </xf>
    <xf numFmtId="2" fontId="3" fillId="0" borderId="0" xfId="0" applyNumberFormat="1" applyFont="1" applyBorder="1" applyAlignment="1">
      <alignment horizontal="center"/>
    </xf>
    <xf numFmtId="0" fontId="0" fillId="0" borderId="11" xfId="0" applyBorder="1"/>
    <xf numFmtId="0" fontId="7" fillId="0" borderId="4" xfId="0" applyFont="1" applyBorder="1"/>
    <xf numFmtId="0" fontId="0" fillId="0" borderId="12" xfId="0" applyBorder="1"/>
    <xf numFmtId="0" fontId="0" fillId="0" borderId="13" xfId="0" applyBorder="1"/>
    <xf numFmtId="44" fontId="0" fillId="0" borderId="0" xfId="0" applyNumberFormat="1" applyFill="1"/>
    <xf numFmtId="0" fontId="3" fillId="3" borderId="0" xfId="0" applyFont="1" applyFill="1"/>
    <xf numFmtId="164" fontId="3" fillId="0" borderId="0" xfId="0" applyNumberFormat="1" applyFont="1" applyBorder="1" applyAlignment="1">
      <alignment horizontal="center"/>
    </xf>
    <xf numFmtId="0" fontId="2" fillId="4" borderId="14" xfId="0" applyFont="1" applyFill="1" applyBorder="1"/>
    <xf numFmtId="0" fontId="0" fillId="0" borderId="15" xfId="0" applyBorder="1"/>
    <xf numFmtId="0" fontId="15" fillId="2" borderId="0" xfId="0" applyFont="1" applyFill="1"/>
    <xf numFmtId="0" fontId="15" fillId="3" borderId="0" xfId="0" applyFont="1" applyFill="1"/>
    <xf numFmtId="0" fontId="0" fillId="0" borderId="0" xfId="0" applyAlignment="1">
      <alignment horizontal="center"/>
    </xf>
    <xf numFmtId="44" fontId="4" fillId="2" borderId="0" xfId="1" applyFont="1" applyFill="1" applyAlignment="1" applyProtection="1">
      <alignment horizontal="center"/>
      <protection locked="0"/>
    </xf>
    <xf numFmtId="44" fontId="4" fillId="3" borderId="0" xfId="1" applyFont="1" applyFill="1" applyAlignment="1" applyProtection="1">
      <alignment horizontal="center"/>
      <protection locked="0"/>
    </xf>
    <xf numFmtId="44" fontId="4" fillId="0" borderId="0" xfId="1" applyFont="1" applyFill="1" applyAlignment="1" applyProtection="1">
      <alignment horizontal="center"/>
      <protection locked="0"/>
    </xf>
    <xf numFmtId="0" fontId="0" fillId="0" borderId="0" xfId="0" applyFill="1" applyProtection="1">
      <protection locked="0"/>
    </xf>
    <xf numFmtId="164" fontId="4" fillId="0" borderId="0"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6" fontId="4" fillId="0" borderId="4" xfId="0" applyNumberFormat="1" applyFont="1" applyBorder="1" applyAlignment="1" applyProtection="1">
      <alignment horizontal="center"/>
      <protection locked="0"/>
    </xf>
    <xf numFmtId="2" fontId="4" fillId="0" borderId="4" xfId="0" applyNumberFormat="1" applyFont="1" applyBorder="1" applyAlignment="1" applyProtection="1">
      <alignment horizontal="center"/>
      <protection locked="0"/>
    </xf>
    <xf numFmtId="166" fontId="4" fillId="0" borderId="0"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44" fontId="4" fillId="0" borderId="0" xfId="1" applyFont="1" applyAlignment="1" applyProtection="1">
      <alignment horizontal="center"/>
      <protection locked="0"/>
    </xf>
    <xf numFmtId="1"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44" fontId="4" fillId="0" borderId="1" xfId="1" applyFont="1" applyBorder="1" applyAlignment="1" applyProtection="1">
      <alignment horizontal="center"/>
      <protection locked="0"/>
    </xf>
    <xf numFmtId="44" fontId="4" fillId="0" borderId="0" xfId="1" applyFont="1" applyBorder="1" applyAlignment="1" applyProtection="1">
      <alignment horizontal="center"/>
      <protection locked="0"/>
    </xf>
    <xf numFmtId="2" fontId="4" fillId="0" borderId="0" xfId="0" applyNumberFormat="1" applyFont="1" applyProtection="1">
      <protection locked="0"/>
    </xf>
    <xf numFmtId="164" fontId="4" fillId="0" borderId="0" xfId="0" applyNumberFormat="1" applyFont="1" applyProtection="1">
      <protection locked="0"/>
    </xf>
    <xf numFmtId="0" fontId="0" fillId="0" borderId="0" xfId="0" applyAlignment="1">
      <alignment horizontal="center"/>
    </xf>
    <xf numFmtId="0" fontId="0" fillId="0" borderId="0" xfId="0" applyAlignment="1">
      <alignment horizontal="center"/>
    </xf>
    <xf numFmtId="44" fontId="3" fillId="0" borderId="0" xfId="1" applyFont="1" applyAlignment="1" applyProtection="1">
      <alignment horizontal="center"/>
    </xf>
    <xf numFmtId="44" fontId="1" fillId="0" borderId="0" xfId="1" applyFont="1" applyAlignment="1" applyProtection="1">
      <alignment horizontal="center"/>
    </xf>
    <xf numFmtId="1" fontId="3" fillId="0" borderId="0" xfId="0" applyNumberFormat="1" applyFont="1" applyAlignment="1" applyProtection="1">
      <alignment horizontal="center"/>
    </xf>
    <xf numFmtId="44" fontId="4" fillId="0" borderId="0" xfId="0" applyNumberFormat="1" applyFont="1" applyFill="1" applyProtection="1">
      <protection locked="0"/>
    </xf>
    <xf numFmtId="44" fontId="4" fillId="0" borderId="1" xfId="0" applyNumberFormat="1" applyFont="1" applyFill="1" applyBorder="1" applyProtection="1">
      <protection locked="0"/>
    </xf>
    <xf numFmtId="44" fontId="3" fillId="0" borderId="0" xfId="0" applyNumberFormat="1" applyFont="1" applyProtection="1"/>
    <xf numFmtId="44" fontId="10" fillId="0" borderId="0" xfId="1" applyFont="1" applyFill="1" applyAlignment="1" applyProtection="1">
      <alignment horizontal="center"/>
      <protection locked="0"/>
    </xf>
    <xf numFmtId="44" fontId="0" fillId="0" borderId="0" xfId="0" applyNumberFormat="1" applyBorder="1" applyAlignment="1">
      <alignment horizontal="center"/>
    </xf>
    <xf numFmtId="0" fontId="0" fillId="0" borderId="0" xfId="0" applyBorder="1" applyAlignment="1">
      <alignment horizontal="center"/>
    </xf>
    <xf numFmtId="0" fontId="21" fillId="0" borderId="0" xfId="0" applyFont="1" applyFill="1"/>
    <xf numFmtId="0" fontId="22" fillId="0" borderId="0" xfId="3" applyProtection="1"/>
    <xf numFmtId="0" fontId="23" fillId="6" borderId="14" xfId="3" applyFont="1" applyFill="1" applyBorder="1" applyProtection="1"/>
    <xf numFmtId="0" fontId="23" fillId="6" borderId="15" xfId="3" applyFont="1" applyFill="1" applyBorder="1" applyProtection="1"/>
    <xf numFmtId="0" fontId="23" fillId="6" borderId="13" xfId="3" applyFont="1" applyFill="1" applyBorder="1" applyProtection="1"/>
    <xf numFmtId="0" fontId="24" fillId="6" borderId="9" xfId="3" applyFont="1" applyFill="1" applyBorder="1" applyAlignment="1" applyProtection="1"/>
    <xf numFmtId="0" fontId="25" fillId="6" borderId="0" xfId="3" applyFont="1" applyFill="1" applyAlignment="1" applyProtection="1"/>
    <xf numFmtId="0" fontId="26" fillId="6" borderId="0" xfId="3" applyFont="1" applyFill="1" applyBorder="1" applyProtection="1"/>
    <xf numFmtId="0" fontId="23" fillId="6" borderId="0" xfId="3" applyFont="1" applyFill="1" applyBorder="1" applyProtection="1"/>
    <xf numFmtId="0" fontId="23" fillId="6" borderId="10" xfId="3" applyFont="1" applyFill="1" applyBorder="1" applyProtection="1"/>
    <xf numFmtId="0" fontId="26" fillId="6" borderId="9" xfId="3" applyFont="1" applyFill="1" applyBorder="1" applyProtection="1"/>
    <xf numFmtId="0" fontId="27" fillId="6" borderId="0" xfId="3" applyFont="1" applyFill="1" applyBorder="1" applyAlignment="1" applyProtection="1">
      <alignment horizontal="left"/>
    </xf>
    <xf numFmtId="0" fontId="28" fillId="6" borderId="0" xfId="3" applyFont="1" applyFill="1" applyAlignment="1" applyProtection="1">
      <alignment horizontal="left"/>
    </xf>
    <xf numFmtId="0" fontId="29" fillId="6" borderId="0" xfId="3" applyFont="1" applyFill="1" applyAlignment="1" applyProtection="1"/>
    <xf numFmtId="0" fontId="23" fillId="6" borderId="9" xfId="3" applyFont="1" applyFill="1" applyBorder="1" applyAlignment="1" applyProtection="1">
      <alignment horizontal="center"/>
    </xf>
    <xf numFmtId="0" fontId="33" fillId="6" borderId="0" xfId="3" applyFont="1" applyFill="1" applyAlignment="1" applyProtection="1">
      <alignment wrapText="1"/>
    </xf>
    <xf numFmtId="0" fontId="34" fillId="6" borderId="0" xfId="3" applyFont="1" applyFill="1" applyBorder="1" applyProtection="1"/>
    <xf numFmtId="0" fontId="35" fillId="6" borderId="10" xfId="3" applyFont="1" applyFill="1" applyBorder="1" applyProtection="1"/>
    <xf numFmtId="0" fontId="23" fillId="6" borderId="11" xfId="3" applyFont="1" applyFill="1" applyBorder="1" applyProtection="1"/>
    <xf numFmtId="0" fontId="23" fillId="6" borderId="4" xfId="3" applyFont="1" applyFill="1" applyBorder="1" applyProtection="1"/>
    <xf numFmtId="0" fontId="34" fillId="6" borderId="4" xfId="3" applyFont="1" applyFill="1" applyBorder="1" applyProtection="1"/>
    <xf numFmtId="0" fontId="36" fillId="6" borderId="12" xfId="3" applyFont="1" applyFill="1" applyBorder="1" applyAlignment="1" applyProtection="1">
      <alignment horizontal="right"/>
    </xf>
    <xf numFmtId="0" fontId="38" fillId="0" borderId="0" xfId="3" applyFont="1" applyProtection="1"/>
    <xf numFmtId="0" fontId="38" fillId="0" borderId="0" xfId="3" applyFont="1" applyFill="1" applyBorder="1" applyProtection="1"/>
    <xf numFmtId="0" fontId="39" fillId="0" borderId="0" xfId="3" applyFont="1" applyAlignment="1" applyProtection="1"/>
    <xf numFmtId="0" fontId="40" fillId="0" borderId="0" xfId="3" applyFont="1" applyAlignment="1" applyProtection="1"/>
    <xf numFmtId="0" fontId="40" fillId="0" borderId="0" xfId="3" applyFont="1" applyProtection="1"/>
    <xf numFmtId="0" fontId="41" fillId="0" borderId="0" xfId="3" applyFont="1" applyProtection="1"/>
    <xf numFmtId="0" fontId="41" fillId="0" borderId="0" xfId="3" applyFont="1" applyFill="1" applyProtection="1"/>
    <xf numFmtId="0" fontId="41" fillId="0" borderId="0" xfId="3" applyFont="1" applyAlignment="1" applyProtection="1">
      <alignment vertical="center" wrapText="1"/>
    </xf>
    <xf numFmtId="0" fontId="40" fillId="0" borderId="0" xfId="3" applyFont="1" applyAlignment="1" applyProtection="1">
      <alignment wrapText="1"/>
    </xf>
    <xf numFmtId="0" fontId="39" fillId="0" borderId="0" xfId="3" applyFont="1" applyProtection="1"/>
    <xf numFmtId="0" fontId="40" fillId="0" borderId="0" xfId="3" applyFont="1" applyAlignment="1" applyProtection="1">
      <alignment horizontal="center"/>
    </xf>
    <xf numFmtId="0" fontId="44" fillId="0" borderId="0" xfId="4" applyFont="1" applyAlignment="1" applyProtection="1"/>
    <xf numFmtId="0" fontId="40" fillId="0" borderId="0" xfId="3" applyFont="1" applyFill="1" applyAlignment="1" applyProtection="1"/>
    <xf numFmtId="0" fontId="40" fillId="0" borderId="0" xfId="5" applyFont="1" applyFill="1" applyAlignment="1" applyProtection="1"/>
    <xf numFmtId="0" fontId="41" fillId="0" borderId="0" xfId="3" applyFont="1" applyAlignment="1" applyProtection="1">
      <alignment horizontal="left" wrapText="1"/>
    </xf>
    <xf numFmtId="44" fontId="7" fillId="0" borderId="0" xfId="0" applyNumberFormat="1" applyFont="1" applyBorder="1"/>
    <xf numFmtId="44" fontId="7" fillId="0" borderId="0" xfId="0" applyNumberFormat="1" applyFont="1" applyBorder="1" applyAlignment="1">
      <alignment horizontal="center"/>
    </xf>
    <xf numFmtId="0" fontId="7" fillId="0" borderId="0" xfId="0" applyFont="1" applyBorder="1" applyAlignment="1">
      <alignment horizontal="center"/>
    </xf>
    <xf numFmtId="44" fontId="4" fillId="2" borderId="0" xfId="0" applyNumberFormat="1" applyFont="1" applyFill="1"/>
    <xf numFmtId="0" fontId="4" fillId="3" borderId="0" xfId="0" applyFont="1" applyFill="1"/>
    <xf numFmtId="44" fontId="4" fillId="2" borderId="0" xfId="0" applyNumberFormat="1" applyFont="1" applyFill="1" applyProtection="1">
      <protection locked="0"/>
    </xf>
    <xf numFmtId="44" fontId="4" fillId="3" borderId="0" xfId="0" applyNumberFormat="1" applyFont="1" applyFill="1" applyProtection="1">
      <protection locked="0"/>
    </xf>
    <xf numFmtId="0" fontId="0" fillId="0" borderId="0" xfId="0" applyProtection="1">
      <protection locked="0"/>
    </xf>
    <xf numFmtId="44" fontId="0" fillId="0" borderId="0" xfId="0" applyNumberFormat="1" applyFill="1" applyProtection="1">
      <protection locked="0"/>
    </xf>
    <xf numFmtId="44" fontId="0" fillId="0" borderId="0" xfId="0" applyNumberFormat="1" applyProtection="1">
      <protection locked="0"/>
    </xf>
    <xf numFmtId="0" fontId="0" fillId="0" borderId="0" xfId="0" applyBorder="1" applyProtection="1">
      <protection locked="0"/>
    </xf>
    <xf numFmtId="1" fontId="0" fillId="0" borderId="0" xfId="0" applyNumberFormat="1" applyProtection="1">
      <protection locked="0"/>
    </xf>
    <xf numFmtId="1" fontId="0" fillId="0" borderId="0" xfId="0" applyNumberFormat="1" applyFill="1" applyProtection="1">
      <protection locked="0"/>
    </xf>
    <xf numFmtId="0" fontId="0" fillId="0" borderId="0" xfId="0" applyAlignment="1">
      <alignment horizontal="center"/>
    </xf>
    <xf numFmtId="0" fontId="46" fillId="0" borderId="5" xfId="0" applyFont="1" applyBorder="1" applyAlignment="1">
      <alignment horizontal="center" vertical="center" wrapText="1"/>
    </xf>
    <xf numFmtId="0" fontId="47" fillId="0" borderId="5" xfId="0" applyFont="1" applyBorder="1" applyAlignment="1">
      <alignment horizontal="center" vertical="center" wrapText="1"/>
    </xf>
    <xf numFmtId="0" fontId="41" fillId="0" borderId="0" xfId="3" applyFont="1" applyAlignment="1" applyProtection="1">
      <alignment horizontal="left" wrapText="1"/>
    </xf>
    <xf numFmtId="0" fontId="26" fillId="6" borderId="9" xfId="3" applyFont="1" applyFill="1" applyBorder="1" applyAlignment="1" applyProtection="1">
      <alignment horizontal="left" wrapText="1"/>
    </xf>
    <xf numFmtId="0" fontId="30" fillId="6" borderId="0" xfId="3" applyFont="1" applyFill="1" applyAlignment="1" applyProtection="1">
      <alignment wrapText="1"/>
    </xf>
    <xf numFmtId="0" fontId="30" fillId="6" borderId="9" xfId="3" applyFont="1" applyFill="1" applyBorder="1" applyAlignment="1" applyProtection="1">
      <alignment wrapText="1"/>
    </xf>
    <xf numFmtId="0" fontId="31" fillId="0" borderId="0" xfId="3" applyFont="1" applyAlignment="1" applyProtection="1">
      <alignment wrapText="1"/>
    </xf>
    <xf numFmtId="0" fontId="32" fillId="0" borderId="0" xfId="3" applyFont="1" applyAlignment="1" applyProtection="1">
      <alignment wrapText="1"/>
    </xf>
    <xf numFmtId="0" fontId="36" fillId="6" borderId="4" xfId="3" applyFont="1" applyFill="1" applyBorder="1" applyAlignment="1" applyProtection="1">
      <alignment horizontal="right"/>
    </xf>
    <xf numFmtId="0" fontId="33" fillId="6" borderId="4" xfId="3" applyFont="1" applyFill="1" applyBorder="1" applyAlignment="1" applyProtection="1">
      <alignment horizontal="right"/>
    </xf>
    <xf numFmtId="14" fontId="36" fillId="6" borderId="4" xfId="3" applyNumberFormat="1" applyFont="1" applyFill="1" applyBorder="1" applyAlignment="1" applyProtection="1">
      <alignment horizontal="left"/>
    </xf>
    <xf numFmtId="0" fontId="33" fillId="6" borderId="4" xfId="3" applyFont="1" applyFill="1" applyBorder="1" applyAlignment="1" applyProtection="1">
      <alignment horizontal="left"/>
    </xf>
    <xf numFmtId="0" fontId="37" fillId="0" borderId="0" xfId="3" applyFont="1" applyProtection="1"/>
    <xf numFmtId="0" fontId="40" fillId="0" borderId="0" xfId="3" applyFont="1" applyAlignment="1" applyProtection="1">
      <alignment horizontal="left" vertical="top" wrapText="1"/>
    </xf>
    <xf numFmtId="0" fontId="39" fillId="0" borderId="0" xfId="3" applyFont="1" applyAlignment="1" applyProtection="1"/>
    <xf numFmtId="0" fontId="40" fillId="0" borderId="0" xfId="3" applyFont="1" applyAlignment="1" applyProtection="1"/>
    <xf numFmtId="0" fontId="40" fillId="0" borderId="0" xfId="3" applyFont="1" applyAlignment="1" applyProtection="1">
      <alignment horizontal="left" wrapText="1"/>
    </xf>
    <xf numFmtId="0" fontId="40" fillId="0" borderId="0" xfId="3" applyFont="1" applyAlignment="1" applyProtection="1">
      <alignment horizontal="left" vertical="center" wrapText="1"/>
    </xf>
    <xf numFmtId="0" fontId="44" fillId="0" borderId="0" xfId="4" applyFont="1" applyAlignment="1" applyProtection="1"/>
    <xf numFmtId="0" fontId="18" fillId="0" borderId="0" xfId="0" applyFont="1" applyAlignment="1">
      <alignment horizontal="center"/>
    </xf>
    <xf numFmtId="0" fontId="13" fillId="2" borderId="1" xfId="0" applyFont="1" applyFill="1" applyBorder="1" applyAlignment="1">
      <alignment horizontal="left" vertical="center" wrapText="1"/>
    </xf>
    <xf numFmtId="0" fontId="0" fillId="0" borderId="1" xfId="0"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167" fontId="13" fillId="2" borderId="1" xfId="0" applyNumberFormat="1" applyFont="1" applyFill="1" applyBorder="1" applyAlignment="1">
      <alignment horizontal="center" vertical="center" wrapText="1"/>
    </xf>
    <xf numFmtId="0" fontId="16" fillId="2" borderId="3" xfId="0" applyFont="1" applyFill="1" applyBorder="1" applyAlignment="1">
      <alignment horizontal="left" vertical="center" wrapText="1"/>
    </xf>
    <xf numFmtId="0" fontId="0" fillId="0" borderId="3" xfId="0" applyBorder="1" applyAlignment="1">
      <alignment horizontal="left"/>
    </xf>
    <xf numFmtId="0" fontId="13" fillId="2" borderId="4" xfId="0" applyFont="1" applyFill="1" applyBorder="1" applyAlignment="1">
      <alignment horizontal="left" vertical="center" wrapText="1"/>
    </xf>
    <xf numFmtId="0" fontId="0" fillId="0" borderId="4" xfId="0" applyBorder="1" applyAlignment="1">
      <alignment horizontal="left" vertical="center" wrapText="1"/>
    </xf>
    <xf numFmtId="0" fontId="13" fillId="2" borderId="4" xfId="0" applyFont="1" applyFill="1" applyBorder="1" applyAlignment="1">
      <alignment horizontal="right"/>
    </xf>
    <xf numFmtId="0" fontId="13" fillId="2" borderId="4" xfId="0" applyFont="1" applyFill="1" applyBorder="1" applyAlignment="1">
      <alignment horizontal="center"/>
    </xf>
    <xf numFmtId="0" fontId="12" fillId="2" borderId="1" xfId="0" applyFont="1" applyFill="1" applyBorder="1" applyAlignment="1">
      <alignment horizontal="left"/>
    </xf>
    <xf numFmtId="44" fontId="0" fillId="0" borderId="0" xfId="0" applyNumberFormat="1" applyBorder="1" applyAlignment="1">
      <alignment horizontal="center"/>
    </xf>
    <xf numFmtId="0" fontId="0" fillId="0" borderId="0" xfId="0" applyBorder="1" applyAlignment="1">
      <alignment horizontal="center"/>
    </xf>
    <xf numFmtId="0" fontId="12" fillId="2" borderId="1" xfId="0" applyFont="1" applyFill="1" applyBorder="1" applyAlignment="1">
      <alignment horizontal="center"/>
    </xf>
    <xf numFmtId="0" fontId="0" fillId="0" borderId="0" xfId="0" applyBorder="1" applyAlignment="1">
      <alignment horizontal="left"/>
    </xf>
    <xf numFmtId="0" fontId="19" fillId="5" borderId="0" xfId="0" applyFont="1" applyFill="1" applyAlignment="1">
      <alignment horizontal="left" wrapText="1"/>
    </xf>
    <xf numFmtId="0" fontId="2" fillId="0" borderId="5" xfId="0" applyFont="1" applyBorder="1" applyAlignment="1">
      <alignment horizontal="center" vertical="center"/>
    </xf>
    <xf numFmtId="0" fontId="13" fillId="2"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right"/>
    </xf>
    <xf numFmtId="44" fontId="0" fillId="0" borderId="0" xfId="0" applyNumberFormat="1" applyBorder="1" applyAlignment="1">
      <alignment horizontal="right"/>
    </xf>
    <xf numFmtId="0" fontId="16" fillId="2" borderId="1" xfId="0" applyFont="1" applyFill="1" applyBorder="1" applyAlignment="1">
      <alignment horizontal="right"/>
    </xf>
    <xf numFmtId="44" fontId="0" fillId="0" borderId="3" xfId="0" applyNumberFormat="1" applyBorder="1" applyAlignment="1">
      <alignment horizontal="center"/>
    </xf>
  </cellXfs>
  <cellStyles count="6">
    <cellStyle name="Currency" xfId="1" builtinId="4"/>
    <cellStyle name="Hyperlink" xfId="2" builtinId="8"/>
    <cellStyle name="Hyperlink 2" xfId="4"/>
    <cellStyle name="Hyperlink_K-State Vegetative Buffer" xfId="5"/>
    <cellStyle name="Normal" xfId="0" builtinId="0"/>
    <cellStyle name="Normal 2" xfId="3"/>
  </cellStyles>
  <dxfs count="0"/>
  <tableStyles count="0" defaultTableStyle="TableStyleMedium2" defaultPivotStyle="PivotStyleLight16"/>
  <colors>
    <mruColors>
      <color rgb="FF996633"/>
      <color rgb="FFFF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52</xdr:row>
      <xdr:rowOff>115534</xdr:rowOff>
    </xdr:from>
    <xdr:to>
      <xdr:col>5</xdr:col>
      <xdr:colOff>352012</xdr:colOff>
      <xdr:row>56</xdr:row>
      <xdr:rowOff>51765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9716734"/>
          <a:ext cx="2843005" cy="622031"/>
        </a:xfrm>
        <a:prstGeom prst="rect">
          <a:avLst/>
        </a:prstGeom>
      </xdr:spPr>
    </xdr:pic>
    <xdr:clientData/>
  </xdr:twoCellAnchor>
  <xdr:twoCellAnchor editAs="oneCell">
    <xdr:from>
      <xdr:col>1</xdr:col>
      <xdr:colOff>0</xdr:colOff>
      <xdr:row>8</xdr:row>
      <xdr:rowOff>20705</xdr:rowOff>
    </xdr:from>
    <xdr:to>
      <xdr:col>12</xdr:col>
      <xdr:colOff>2468</xdr:colOff>
      <xdr:row>25</xdr:row>
      <xdr:rowOff>144944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7088" b="15884"/>
        <a:stretch/>
      </xdr:blipFill>
      <xdr:spPr>
        <a:xfrm>
          <a:off x="238125" y="1449455"/>
          <a:ext cx="7641518" cy="2838864"/>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49</xdr:row>
      <xdr:rowOff>19048</xdr:rowOff>
    </xdr:from>
    <xdr:to>
      <xdr:col>2</xdr:col>
      <xdr:colOff>331471</xdr:colOff>
      <xdr:row>91</xdr:row>
      <xdr:rowOff>178594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526" y="9627392"/>
          <a:ext cx="3250883" cy="8136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Climate,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occuring in October</a:t>
          </a:r>
          <a:r>
            <a:rPr lang="en-US" sz="1100">
              <a:solidFill>
                <a:schemeClr val="dk1"/>
              </a:solidFill>
              <a:effectLst/>
              <a:latin typeface="+mn-lt"/>
              <a:ea typeface="+mn-ea"/>
              <a:cs typeface="+mn-cs"/>
            </a:rPr>
            <a:t>.  Users are encouraged to update prices to best reflect their specific situation.</a:t>
          </a:r>
          <a:endParaRPr lang="en-US" sz="1100" baseline="0"/>
        </a:p>
        <a:p>
          <a:pPr>
            <a:tabLst>
              <a:tab pos="36576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Default costs in the tool are based on 10-year trends, rounded to the nearest dollar.</a:t>
          </a:r>
        </a:p>
        <a:p>
          <a:pPr>
            <a:tabLst>
              <a:tab pos="365760" algn="l"/>
            </a:tabLst>
          </a:pPr>
          <a:r>
            <a:rPr lang="en-US" sz="1100" baseline="0"/>
            <a:t>	Two different sets of price forecasts are available in the spreadsheet.  By clicking the dropdown menu at the top of the budget, a user can select "2021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The default Cow/Calf budget assumes a spring calving herd that develops their own replacements; therefore costs include 16% of the cost of raising a replacement heifer (default is a 16% replacement percentage) and 4% of the cost of maintaining a bull (assuming 1 bull per 20 cows).  If purchasing replacements or A.I. breeding, costs should be adjusted accordingly.  </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Default is KFMA state average.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heifer calves retained for replacements as well as cull cows sold. </a:t>
          </a: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0" i="1">
              <a:solidFill>
                <a:schemeClr val="dk1"/>
              </a:solidFill>
              <a:effectLst/>
              <a:latin typeface="+mn-lt"/>
              <a:ea typeface="+mn-ea"/>
              <a:cs typeface="+mn-cs"/>
            </a:rPr>
            <a:t>*Note,</a:t>
          </a:r>
          <a:r>
            <a:rPr lang="en-US" sz="1100" b="0" i="1" baseline="0">
              <a:solidFill>
                <a:schemeClr val="dk1"/>
              </a:solidFill>
              <a:effectLst/>
              <a:latin typeface="+mn-lt"/>
              <a:ea typeface="+mn-ea"/>
              <a:cs typeface="+mn-cs"/>
            </a:rPr>
            <a:t> KFMA values used reflect 80 farms with an avearge herd size of 133 cows.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342901</xdr:colOff>
      <xdr:row>49</xdr:row>
      <xdr:rowOff>19048</xdr:rowOff>
    </xdr:from>
    <xdr:to>
      <xdr:col>10</xdr:col>
      <xdr:colOff>17146</xdr:colOff>
      <xdr:row>92</xdr:row>
      <xdr:rowOff>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271839" y="9627392"/>
          <a:ext cx="3234213" cy="8172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based on the Cow Replacement Percentage.  </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to revenue per cow.  Cull cow weight can be adjusted.</a:t>
          </a:r>
          <a:endParaRPr lang="en-US">
            <a:effectLst/>
          </a:endParaRPr>
        </a:p>
        <a:p>
          <a:pPr eaLnBrk="1" fontAlgn="auto" latinLnBrk="0" hangingPunct="1"/>
          <a:endParaRPr lang="en-US" sz="5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State average estimate of a 10-year linear trend using NASS surveys for pasture rental rates.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 per acre, assuming $0.50/head/day, over 2 acres for 60 days.</a:t>
          </a:r>
          <a:endParaRPr lang="en-US" sz="1100" b="0"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hay, silage, and alfalfa gets combined and the price weighted based on the proportions of each.</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corn, soybean meal, and distiller's grains gets combined and the price weighted based on the proportions of each.</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total pounds/year is entered.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 Labor hours are determined accordingly.</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Assumes the value of a weaned heifer calf and applies to the per cow budget using the replacement percentage.  If purchasing replacements, change this to purchase cost and reduce expenses accordingly.</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KFMA value which includes trucking, sale commissions, and other expenses.</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for the beef cow enterprises's share.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rental,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Real Estate Tax</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a:t>
          </a:r>
          <a:r>
            <a:rPr lang="en-US" sz="1050" b="0" baseline="0">
              <a:solidFill>
                <a:schemeClr val="dk1"/>
              </a:solidFill>
              <a:effectLst/>
              <a:latin typeface="+mn-lt"/>
              <a:ea typeface="+mn-ea"/>
              <a:cs typeface="+mn-cs"/>
            </a:rPr>
            <a:t>charge-does not represent cash interest paid, rather a measure to reflect the interest that could have been earned had the investment been made elsewhere.</a:t>
          </a:r>
          <a:endParaRPr lang="en-US" sz="700" b="1">
            <a:effectLst/>
          </a:endParaRPr>
        </a:p>
        <a:p>
          <a:pPr eaLnBrk="1" fontAlgn="auto" latinLnBrk="0" hangingPunct="1"/>
          <a:endParaRPr lang="en-US">
            <a:effectLst/>
          </a:endParaRPr>
        </a:p>
      </xdr:txBody>
    </xdr:sp>
    <xdr:clientData/>
  </xdr:twoCellAnchor>
  <xdr:twoCellAnchor>
    <xdr:from>
      <xdr:col>0</xdr:col>
      <xdr:colOff>0</xdr:colOff>
      <xdr:row>132</xdr:row>
      <xdr:rowOff>311727</xdr:rowOff>
    </xdr:from>
    <xdr:to>
      <xdr:col>9</xdr:col>
      <xdr:colOff>702470</xdr:colOff>
      <xdr:row>133</xdr:row>
      <xdr:rowOff>424295</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0" y="26211068"/>
          <a:ext cx="6607970" cy="909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mc:AlternateContent xmlns:mc="http://schemas.openxmlformats.org/markup-compatibility/2006">
    <mc:Choice xmlns:a14="http://schemas.microsoft.com/office/drawing/2010/main" Requires="a14">
      <xdr:twoCellAnchor>
        <xdr:from>
          <xdr:col>11</xdr:col>
          <xdr:colOff>9525</xdr:colOff>
          <xdr:row>3</xdr:row>
          <xdr:rowOff>66675</xdr:rowOff>
        </xdr:from>
        <xdr:to>
          <xdr:col>14</xdr:col>
          <xdr:colOff>447675</xdr:colOff>
          <xdr:row>5</xdr:row>
          <xdr:rowOff>0</xdr:rowOff>
        </xdr:to>
        <xdr:sp macro="" textlink="">
          <xdr:nvSpPr>
            <xdr:cNvPr id="9222" name="Button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19050</xdr:rowOff>
        </xdr:from>
        <xdr:to>
          <xdr:col>14</xdr:col>
          <xdr:colOff>438150</xdr:colOff>
          <xdr:row>6</xdr:row>
          <xdr:rowOff>361950</xdr:rowOff>
        </xdr:to>
        <xdr:sp macro="" textlink="">
          <xdr:nvSpPr>
            <xdr:cNvPr id="9224" name="Button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xdr:colOff>
      <xdr:row>47</xdr:row>
      <xdr:rowOff>19048</xdr:rowOff>
    </xdr:from>
    <xdr:to>
      <xdr:col>2</xdr:col>
      <xdr:colOff>503555</xdr:colOff>
      <xdr:row>89</xdr:row>
      <xdr:rowOff>1111250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525" y="10072253"/>
          <a:ext cx="3386166"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reflect feeding</a:t>
          </a:r>
          <a:r>
            <a:rPr lang="en-US" sz="1100" baseline="0">
              <a:solidFill>
                <a:schemeClr val="dk1"/>
              </a:solidFill>
              <a:effectLst/>
              <a:latin typeface="+mn-lt"/>
              <a:ea typeface="+mn-ea"/>
              <a:cs typeface="+mn-cs"/>
            </a:rPr>
            <a:t> a weaned calf from October of the budget year to March of the following year</a:t>
          </a:r>
          <a:r>
            <a:rPr lang="en-US" sz="1100">
              <a:solidFill>
                <a:schemeClr val="dk1"/>
              </a:solidFill>
              <a:effectLst/>
              <a:latin typeface="+mn-lt"/>
              <a:ea typeface="+mn-ea"/>
              <a:cs typeface="+mn-cs"/>
            </a:rPr>
            <a:t>.  Users are encouraged to update prices to best reflect their specific situation.</a:t>
          </a:r>
          <a:endParaRPr lang="en-US" sz="1100" baseline="0"/>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sz="1100" baseline="0"/>
        </a:p>
        <a:p>
          <a:pPr>
            <a:tabLst>
              <a:tab pos="365760" algn="l"/>
            </a:tabLst>
          </a:pPr>
          <a:r>
            <a:rPr lang="en-US" sz="1100" baseline="0"/>
            <a:t>	Two different sets of price forecasts are available in the spreadsheet.  By clicking the dropdown menu at the top of the budget, a user can select "2021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While pasture and crop residue grazing are not used in the default scenario, they can be entered as a total acre amount for the feeding period.  Harvested forages, grain &amp; supplements, and salt &amp; mineral are on a head per day basis and will be multiplied by the days in the backgrounding lot to determine total feed amounts.</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Backgrounding Lot: </a:t>
          </a:r>
          <a:r>
            <a:rPr lang="en-US" sz="1100" b="0" baseline="0">
              <a:solidFill>
                <a:schemeClr val="dk1"/>
              </a:solidFill>
              <a:effectLst/>
              <a:latin typeface="+mn-lt"/>
              <a:ea typeface="+mn-ea"/>
              <a:cs typeface="+mn-cs"/>
            </a:rPr>
            <a:t>Will be used to calculate ending weight and be multiplied by feed inputs that are on a per day basis.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Average Daily Gain: </a:t>
          </a:r>
          <a:r>
            <a:rPr lang="en-US" sz="1100" b="0" baseline="0">
              <a:solidFill>
                <a:schemeClr val="dk1"/>
              </a:solidFill>
              <a:effectLst/>
              <a:latin typeface="+mn-lt"/>
              <a:ea typeface="+mn-ea"/>
              <a:cs typeface="+mn-cs"/>
            </a:rPr>
            <a:t>Will be multiplied by days in the lot to determine ending weight.  ADG is a large driver of returns, so should be adjusted to fit the production setting.  If pasture or crop residue is used during the feeding period, overwrite the ending weight value to achieve the correct weight if need be.</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19048</xdr:rowOff>
    </xdr:from>
    <xdr:to>
      <xdr:col>9</xdr:col>
      <xdr:colOff>995681</xdr:colOff>
      <xdr:row>89</xdr:row>
      <xdr:rowOff>1143000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390901" y="10083798"/>
          <a:ext cx="3383280"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a March Steer price, adjust if purchaing heifers.  </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October Steer price, adjust if purchasing heifers.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State average estimate of a 10-year linear trend using NASS surveys for pasture rental rates.  Pasture is not used in this example.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backgrounding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backgrounding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backgrounding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endParaRPr lang="en-US" b="1">
            <a:effectLst/>
          </a:endParaRPr>
        </a:p>
        <a:p>
          <a:pPr eaLnBrk="1" fontAlgn="auto" latinLnBrk="0" hangingPunct="1"/>
          <a:endParaRPr lang="en-US" b="1">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39 farms with an average of 780 head.  </a:t>
          </a:r>
          <a:endParaRPr lang="en-US" sz="900">
            <a:effectLst/>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9525</xdr:colOff>
          <xdr:row>2</xdr:row>
          <xdr:rowOff>180975</xdr:rowOff>
        </xdr:from>
        <xdr:to>
          <xdr:col>14</xdr:col>
          <xdr:colOff>581025</xdr:colOff>
          <xdr:row>4</xdr:row>
          <xdr:rowOff>133350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5</xdr:row>
          <xdr:rowOff>171450</xdr:rowOff>
        </xdr:from>
        <xdr:to>
          <xdr:col>14</xdr:col>
          <xdr:colOff>590550</xdr:colOff>
          <xdr:row>7</xdr:row>
          <xdr:rowOff>123825</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twoCellAnchor>
    <xdr:from>
      <xdr:col>0</xdr:col>
      <xdr:colOff>0</xdr:colOff>
      <xdr:row>128</xdr:row>
      <xdr:rowOff>207817</xdr:rowOff>
    </xdr:from>
    <xdr:to>
      <xdr:col>9</xdr:col>
      <xdr:colOff>537947</xdr:colOff>
      <xdr:row>129</xdr:row>
      <xdr:rowOff>166252</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0" y="27354067"/>
          <a:ext cx="6408811" cy="106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47</xdr:row>
      <xdr:rowOff>19049</xdr:rowOff>
    </xdr:from>
    <xdr:to>
      <xdr:col>2</xdr:col>
      <xdr:colOff>503555</xdr:colOff>
      <xdr:row>89</xdr:row>
      <xdr:rowOff>432955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525" y="9353549"/>
          <a:ext cx="3386166" cy="8414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assume a early double-stocking system from March-July of</a:t>
          </a:r>
          <a:r>
            <a:rPr lang="en-US" sz="1100" baseline="0">
              <a:solidFill>
                <a:schemeClr val="dk1"/>
              </a:solidFill>
              <a:effectLst/>
              <a:latin typeface="+mn-lt"/>
              <a:ea typeface="+mn-ea"/>
              <a:cs typeface="+mn-cs"/>
            </a:rPr>
            <a:t> the production year. </a:t>
          </a:r>
          <a:r>
            <a:rPr lang="en-US" sz="1100">
              <a:solidFill>
                <a:schemeClr val="dk1"/>
              </a:solidFill>
              <a:effectLst/>
              <a:latin typeface="+mn-lt"/>
              <a:ea typeface="+mn-ea"/>
              <a:cs typeface="+mn-cs"/>
            </a:rPr>
            <a:t>Users are encouraged to update prices to best reflect their specific situation.</a:t>
          </a:r>
          <a:endParaRPr lang="en-US" sz="1100" baseline="0"/>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a:effectLst/>
          </a:endParaRPr>
        </a:p>
        <a:p>
          <a:pPr>
            <a:tabLst>
              <a:tab pos="365760" algn="l"/>
            </a:tabLst>
          </a:pPr>
          <a:r>
            <a:rPr lang="en-US" sz="1100" baseline="0"/>
            <a:t>	</a:t>
          </a:r>
          <a:r>
            <a:rPr lang="en-US" sz="1100" baseline="0">
              <a:solidFill>
                <a:schemeClr val="dk1"/>
              </a:solidFill>
              <a:effectLst/>
              <a:latin typeface="+mn-lt"/>
              <a:ea typeface="+mn-ea"/>
              <a:cs typeface="+mn-cs"/>
            </a:rPr>
            <a:t>Two different sets of price forecasts are available in the spreadsheet.  By clicking the dropdown menu at the top of the budget, a user can select "2020 Production Year",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t>
          </a:r>
          <a:r>
            <a:rPr lang="en-US" sz="1100" baseline="0"/>
            <a:t> </a:t>
          </a:r>
        </a:p>
        <a:p>
          <a:pPr>
            <a:tabLst>
              <a:tab pos="365760" algn="l"/>
            </a:tabLst>
          </a:pPr>
          <a:r>
            <a:rPr lang="en-US" sz="1100" baseline="0"/>
            <a:t>	Feed assumptions can be viewed in the </a:t>
          </a:r>
          <a:r>
            <a:rPr lang="en-US" sz="1100" i="1" baseline="0"/>
            <a:t>Feed</a:t>
          </a:r>
          <a:r>
            <a:rPr lang="en-US" sz="1100" baseline="0"/>
            <a:t> tab.  Pasture should be entered as a total acre amount for the entire budgeting period. Grain, supplements, and mineral are also entered as a total amount for the stocker period.  </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on Pasture &amp; Average Daily Gain: </a:t>
          </a:r>
          <a:r>
            <a:rPr lang="en-US" sz="1100" b="0" baseline="0">
              <a:solidFill>
                <a:schemeClr val="dk1"/>
              </a:solidFill>
              <a:effectLst/>
              <a:latin typeface="+mn-lt"/>
              <a:ea typeface="+mn-ea"/>
              <a:cs typeface="+mn-cs"/>
            </a:rPr>
            <a:t>Will be used to calculate ending weight and hundredweight producted (CWT).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200" b="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7 farms with an average of 280 head.  </a:t>
          </a:r>
          <a:endParaRPr lang="en-US" sz="600">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19047</xdr:rowOff>
    </xdr:from>
    <xdr:to>
      <xdr:col>9</xdr:col>
      <xdr:colOff>881381</xdr:colOff>
      <xdr:row>89</xdr:row>
      <xdr:rowOff>432954</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93787" y="9544047"/>
          <a:ext cx="3393094" cy="8414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Steer price in March of the production year, adjust if grazing heifers.</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July Steer price, adjust if grazing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p>
        <a:p>
          <a:pPr marL="0" marR="0" indent="0" defTabSz="914400" eaLnBrk="1" fontAlgn="auto" latinLnBrk="0" hangingPunct="1">
            <a:lnSpc>
              <a:spcPct val="100000"/>
            </a:lnSpc>
            <a:spcBef>
              <a:spcPts val="0"/>
            </a:spcBef>
            <a:spcAft>
              <a:spcPts val="0"/>
            </a:spcAft>
            <a:buClrTx/>
            <a:buSzTx/>
            <a:buFontTx/>
            <a:buNone/>
            <a:tabLst/>
            <a:defRPr/>
          </a:pPr>
          <a:endParaRPr lang="en-US" sz="105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State average estimate of a 10-year linear trend using NASS surveys for pasture rental rates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hay, silage, and alfalfa gets combined and price is weighted based on the proportions of each forage.  Default scenario assumes stockers are on pasture entire time.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corn, soybean meal, and distiller's grains gets combined and price is weighted based on the proportions of each feedstuff.  Default scenario assumes no grain or supplements are used.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total amount is entered for the grazing period.</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between .15 and .30 hours per month, default assumes .20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combined values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500" b="0" baseline="0">
            <a:solidFill>
              <a:schemeClr val="dk1"/>
            </a:solidFill>
            <a:effectLst/>
            <a:latin typeface="+mn-lt"/>
            <a:ea typeface="+mn-ea"/>
            <a:cs typeface="+mn-cs"/>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19050</xdr:colOff>
          <xdr:row>2</xdr:row>
          <xdr:rowOff>171450</xdr:rowOff>
        </xdr:from>
        <xdr:to>
          <xdr:col>14</xdr:col>
          <xdr:colOff>428625</xdr:colOff>
          <xdr:row>4</xdr:row>
          <xdr:rowOff>114300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10</xdr:col>
          <xdr:colOff>600075</xdr:colOff>
          <xdr:row>5</xdr:row>
          <xdr:rowOff>152400</xdr:rowOff>
        </xdr:from>
        <xdr:to>
          <xdr:col>14</xdr:col>
          <xdr:colOff>438150</xdr:colOff>
          <xdr:row>7</xdr:row>
          <xdr:rowOff>95250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twoCellAnchor>
    <xdr:from>
      <xdr:col>0</xdr:col>
      <xdr:colOff>60614</xdr:colOff>
      <xdr:row>127</xdr:row>
      <xdr:rowOff>138545</xdr:rowOff>
    </xdr:from>
    <xdr:to>
      <xdr:col>9</xdr:col>
      <xdr:colOff>693811</xdr:colOff>
      <xdr:row>131</xdr:row>
      <xdr:rowOff>138545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60614" y="25094045"/>
          <a:ext cx="6538697"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46</xdr:row>
      <xdr:rowOff>19048</xdr:rowOff>
    </xdr:from>
    <xdr:to>
      <xdr:col>2</xdr:col>
      <xdr:colOff>503555</xdr:colOff>
      <xdr:row>88</xdr:row>
      <xdr:rowOff>1111250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9525" y="10067923"/>
          <a:ext cx="3389630"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assume feeders are placed in July and fed animals are sold in December.  Users are encouraged to update prices to best reflect their specific situation.</a:t>
          </a:r>
          <a:endParaRPr lang="en-US" sz="1100" baseline="0"/>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a:effectLst/>
          </a:endParaRPr>
        </a:p>
        <a:p>
          <a:pPr>
            <a:tabLst>
              <a:tab pos="365760" algn="l"/>
            </a:tabLst>
          </a:pPr>
          <a:r>
            <a:rPr lang="en-US" sz="1100" baseline="0"/>
            <a:t>	</a:t>
          </a:r>
          <a:r>
            <a:rPr lang="en-US" sz="1100" baseline="0">
              <a:solidFill>
                <a:schemeClr val="dk1"/>
              </a:solidFill>
              <a:effectLst/>
              <a:latin typeface="+mn-lt"/>
              <a:ea typeface="+mn-ea"/>
              <a:cs typeface="+mn-cs"/>
            </a:rPr>
            <a:t>Two different sets of price forecasts are available in the spreadsheet.  By clicking the dropdown menu at the top of the budget, a user can select "2021 Production Year"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t>
          </a:r>
          <a:endParaRPr lang="en-US" sz="1100" baseline="0"/>
        </a:p>
        <a:p>
          <a:pPr>
            <a:tabLst>
              <a:tab pos="365760" algn="l"/>
            </a:tabLst>
          </a:pPr>
          <a:r>
            <a:rPr lang="en-US" sz="1100" baseline="0"/>
            <a:t>	Feed assumptions can be viewed in the </a:t>
          </a:r>
          <a:r>
            <a:rPr lang="en-US" sz="1100" i="1" baseline="0"/>
            <a:t>Feed</a:t>
          </a:r>
          <a:r>
            <a:rPr lang="en-US" sz="1100" baseline="0"/>
            <a:t> tab.  Harvested forages, grain/supplements, and mineral are on a head per day basis and will be multiplied by the days in the finishing lot to determine total feed amounts.</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Feed &amp; Average Daily Gain: </a:t>
          </a:r>
          <a:r>
            <a:rPr lang="en-US" sz="1100" b="0" baseline="0">
              <a:solidFill>
                <a:schemeClr val="dk1"/>
              </a:solidFill>
              <a:effectLst/>
              <a:latin typeface="+mn-lt"/>
              <a:ea typeface="+mn-ea"/>
              <a:cs typeface="+mn-cs"/>
            </a:rPr>
            <a:t>Will be used to calculate ending weight and be multiplied by feed inputs which are on a per day basis.  ADG is a large driver of returns, so should be adjusted to fit the production setting.  </a:t>
          </a: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46</xdr:row>
      <xdr:rowOff>19048</xdr:rowOff>
    </xdr:from>
    <xdr:to>
      <xdr:col>9</xdr:col>
      <xdr:colOff>995681</xdr:colOff>
      <xdr:row>88</xdr:row>
      <xdr:rowOff>1143000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397251" y="10067923"/>
          <a:ext cx="3380105"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Fed Animal Sale: </a:t>
          </a:r>
          <a:r>
            <a:rPr lang="en-US" sz="1100" b="0" baseline="0">
              <a:solidFill>
                <a:schemeClr val="dk1"/>
              </a:solidFill>
              <a:effectLst/>
              <a:latin typeface="+mn-lt"/>
              <a:ea typeface="+mn-ea"/>
              <a:cs typeface="+mn-cs"/>
            </a:rPr>
            <a:t>Default is based upon a December Steer price, adjust if feeding heifers.</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July Feeder Steer price, adjust if feeding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finishing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finishing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finishing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building rent,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400">
            <a:effectLst/>
          </a:endParaRPr>
        </a:p>
        <a:p>
          <a:pPr eaLnBrk="1" fontAlgn="auto" latinLnBrk="0" hangingPunct="1"/>
          <a:endParaRPr lang="en-US" sz="4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5 farms with an average of 1,107 head.  </a:t>
          </a:r>
          <a:endParaRPr lang="en-US" sz="900">
            <a:effectLst/>
          </a:endParaRPr>
        </a:p>
        <a:p>
          <a:pPr eaLnBrk="1" fontAlgn="auto" latinLnBrk="0" hangingPunct="1"/>
          <a:endParaRPr lang="en-US">
            <a:effectLst/>
          </a:endParaRPr>
        </a:p>
      </xdr:txBody>
    </xdr:sp>
    <xdr:clientData/>
  </xdr:twoCellAnchor>
  <xdr:oneCellAnchor>
    <xdr:from>
      <xdr:col>14</xdr:col>
      <xdr:colOff>428625</xdr:colOff>
      <xdr:row>15</xdr:row>
      <xdr:rowOff>76200</xdr:rowOff>
    </xdr:from>
    <xdr:ext cx="184731" cy="264560"/>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9441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609600</xdr:colOff>
          <xdr:row>4</xdr:row>
          <xdr:rowOff>38100</xdr:rowOff>
        </xdr:from>
        <xdr:to>
          <xdr:col>14</xdr:col>
          <xdr:colOff>447675</xdr:colOff>
          <xdr:row>6</xdr:row>
          <xdr:rowOff>9525</xdr:rowOff>
        </xdr:to>
        <xdr:sp macro="" textlink="">
          <xdr:nvSpPr>
            <xdr:cNvPr id="16405" name="Button 21" hidden="1">
              <a:extLst>
                <a:ext uri="{63B3BB69-23CF-44E3-9099-C40C66FF867C}">
                  <a14:compatExt spid="_x0000_s16405"/>
                </a:ext>
                <a:ext uri="{FF2B5EF4-FFF2-40B4-BE49-F238E27FC236}">
                  <a16:creationId xmlns:a16="http://schemas.microsoft.com/office/drawing/2014/main" id="{00000000-0008-0000-0600-000015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180975</xdr:rowOff>
        </xdr:from>
        <xdr:to>
          <xdr:col>14</xdr:col>
          <xdr:colOff>466725</xdr:colOff>
          <xdr:row>7</xdr:row>
          <xdr:rowOff>152400</xdr:rowOff>
        </xdr:to>
        <xdr:sp macro="" textlink="">
          <xdr:nvSpPr>
            <xdr:cNvPr id="16406" name="Button 22" hidden="1">
              <a:extLst>
                <a:ext uri="{63B3BB69-23CF-44E3-9099-C40C66FF867C}">
                  <a14:compatExt spid="_x0000_s16406"/>
                </a:ext>
                <a:ext uri="{FF2B5EF4-FFF2-40B4-BE49-F238E27FC236}">
                  <a16:creationId xmlns:a16="http://schemas.microsoft.com/office/drawing/2014/main" id="{00000000-0008-0000-0600-00001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twoCellAnchor>
    <xdr:from>
      <xdr:col>0</xdr:col>
      <xdr:colOff>0</xdr:colOff>
      <xdr:row>128</xdr:row>
      <xdr:rowOff>8659</xdr:rowOff>
    </xdr:from>
    <xdr:to>
      <xdr:col>9</xdr:col>
      <xdr:colOff>763084</xdr:colOff>
      <xdr:row>129</xdr:row>
      <xdr:rowOff>122957</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0" y="26055204"/>
          <a:ext cx="6538698" cy="746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ster%20Price%20Worksheet%20Dec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Prices"/>
      <sheetName val="Current Price Explanations"/>
      <sheetName val="1-Year Out Price Explanations"/>
      <sheetName val="5-Year Out Price Explanations"/>
      <sheetName val="Feed (2)_IDOtherIngValues"/>
    </sheetNames>
    <sheetDataSet>
      <sheetData sheetId="0">
        <row r="5">
          <cell r="B5" t="str">
            <v>(as of Dec. 21st, 2021)</v>
          </cell>
          <cell r="G5" t="str">
            <v>(Oct. 2021 USDA)</v>
          </cell>
        </row>
        <row r="6">
          <cell r="A6" t="str">
            <v>Market Hogs ($/cwt)</v>
          </cell>
          <cell r="B6">
            <v>44.799599999999998</v>
          </cell>
          <cell r="D6">
            <v>42.061599999999999</v>
          </cell>
          <cell r="G6">
            <v>51.28</v>
          </cell>
        </row>
        <row r="7">
          <cell r="A7" t="str">
            <v>Weaned Pig ($/hd)</v>
          </cell>
          <cell r="B7">
            <v>58.38</v>
          </cell>
          <cell r="D7">
            <v>43.962421231999997</v>
          </cell>
          <cell r="G7">
            <v>57.192058099999997</v>
          </cell>
        </row>
        <row r="8">
          <cell r="A8" t="str">
            <v>Feeder Pig ($/hd)</v>
          </cell>
          <cell r="B8">
            <v>76.25</v>
          </cell>
          <cell r="D8">
            <v>47.472837776799999</v>
          </cell>
          <cell r="G8">
            <v>77.464566939999997</v>
          </cell>
        </row>
        <row r="9">
          <cell r="A9" t="str">
            <v>Cull Sows ($/cwt)</v>
          </cell>
          <cell r="B9">
            <v>63.32</v>
          </cell>
          <cell r="D9">
            <v>59.450095804426823</v>
          </cell>
          <cell r="G9">
            <v>72.479432852079043</v>
          </cell>
        </row>
        <row r="10">
          <cell r="A10" t="str">
            <v>Replacement Gilts ($/hd)</v>
          </cell>
          <cell r="B10">
            <v>198.19889999999998</v>
          </cell>
          <cell r="D10">
            <v>186.08565371655101</v>
          </cell>
          <cell r="G10">
            <v>226.86898079447136</v>
          </cell>
        </row>
        <row r="12">
          <cell r="A12" t="str">
            <v>Oct. Heifer Calf Price ($/cwt)*</v>
          </cell>
          <cell r="B12">
            <v>184.92</v>
          </cell>
          <cell r="G12">
            <v>146.58999055337344</v>
          </cell>
        </row>
        <row r="13">
          <cell r="A13" t="str">
            <v>Oct. Steer Calves Price ($/cwt)*</v>
          </cell>
          <cell r="B13">
            <v>201.13</v>
          </cell>
          <cell r="G13">
            <v>159.44</v>
          </cell>
        </row>
        <row r="14">
          <cell r="A14" t="str">
            <v>March Feeder Steers ($/cwt)**</v>
          </cell>
          <cell r="B14">
            <v>164.38</v>
          </cell>
          <cell r="D14">
            <v>168</v>
          </cell>
          <cell r="G14">
            <v>145</v>
          </cell>
        </row>
        <row r="15">
          <cell r="A15" t="str">
            <v>July Feeder Steers ($/cwt)***</v>
          </cell>
          <cell r="B15">
            <v>178</v>
          </cell>
          <cell r="G15">
            <v>145</v>
          </cell>
        </row>
        <row r="16">
          <cell r="A16" t="str">
            <v>Dec. Fed Cattle ($/cwt)****</v>
          </cell>
          <cell r="B16">
            <v>140</v>
          </cell>
          <cell r="D16">
            <v>140</v>
          </cell>
          <cell r="G16">
            <v>114.61</v>
          </cell>
        </row>
        <row r="17">
          <cell r="A17" t="str">
            <v>Beef Cull cow ($/cwt)</v>
          </cell>
          <cell r="B17">
            <v>125</v>
          </cell>
          <cell r="D17">
            <v>125</v>
          </cell>
          <cell r="G17">
            <v>102.33035714285714</v>
          </cell>
        </row>
        <row r="19">
          <cell r="A19" t="str">
            <v>Milk ($/cwt)</v>
          </cell>
          <cell r="B19">
            <v>19.7</v>
          </cell>
          <cell r="D19">
            <v>19.95</v>
          </cell>
          <cell r="G19">
            <v>18.149999999999999</v>
          </cell>
        </row>
        <row r="20">
          <cell r="A20" t="str">
            <v>Replacement Heifers (per hd)</v>
          </cell>
          <cell r="B20">
            <v>1156</v>
          </cell>
          <cell r="D20">
            <v>1181</v>
          </cell>
          <cell r="G20">
            <v>1020</v>
          </cell>
        </row>
        <row r="21">
          <cell r="A21" t="str">
            <v>Dairy Bull Calves (per hd)</v>
          </cell>
          <cell r="B21">
            <v>98.68</v>
          </cell>
          <cell r="D21">
            <v>101</v>
          </cell>
          <cell r="G21">
            <v>87</v>
          </cell>
        </row>
        <row r="22">
          <cell r="A22" t="str">
            <v>Dairy Heifer Calves (per hd)</v>
          </cell>
          <cell r="B22">
            <v>55</v>
          </cell>
          <cell r="D22">
            <v>56</v>
          </cell>
          <cell r="G22">
            <v>49</v>
          </cell>
        </row>
        <row r="23">
          <cell r="A23" t="str">
            <v>Dairy Cull cow (per cwt)</v>
          </cell>
          <cell r="B23">
            <v>125</v>
          </cell>
          <cell r="D23">
            <v>125</v>
          </cell>
          <cell r="G23">
            <v>102</v>
          </cell>
        </row>
        <row r="24">
          <cell r="A24" t="str">
            <v>Cull Replacement Heifer (per cwt)</v>
          </cell>
          <cell r="B24">
            <v>130</v>
          </cell>
          <cell r="D24">
            <v>133</v>
          </cell>
          <cell r="G24">
            <v>105</v>
          </cell>
        </row>
        <row r="25">
          <cell r="A25" t="str">
            <v>Cull Yearling Heifer (per cwt)</v>
          </cell>
          <cell r="B25">
            <v>167</v>
          </cell>
          <cell r="D25">
            <v>171</v>
          </cell>
          <cell r="G25">
            <v>147</v>
          </cell>
        </row>
        <row r="26">
          <cell r="A26" t="str">
            <v>Grain Sorghum ($/cwt)</v>
          </cell>
          <cell r="B26">
            <v>6.05</v>
          </cell>
          <cell r="D26">
            <v>5.6669642857142852</v>
          </cell>
          <cell r="G26">
            <v>3.7</v>
          </cell>
        </row>
        <row r="27">
          <cell r="A27" t="str">
            <v>Corn ($/bu)</v>
          </cell>
          <cell r="B27">
            <v>6.16</v>
          </cell>
          <cell r="D27">
            <v>5.77</v>
          </cell>
          <cell r="G27">
            <v>3.55</v>
          </cell>
        </row>
        <row r="28">
          <cell r="A28" t="str">
            <v>Soybeans ($/bu)</v>
          </cell>
          <cell r="B28">
            <v>12.75</v>
          </cell>
          <cell r="D28">
            <v>12.2</v>
          </cell>
          <cell r="G28">
            <v>9.65</v>
          </cell>
        </row>
        <row r="29">
          <cell r="A29" t="str">
            <v>Soybean Meal ($/ton)</v>
          </cell>
          <cell r="B29">
            <v>384.9</v>
          </cell>
          <cell r="D29">
            <v>363.9</v>
          </cell>
          <cell r="G29">
            <v>341</v>
          </cell>
        </row>
        <row r="30">
          <cell r="A30" t="str">
            <v>DDGS ($/ton)</v>
          </cell>
          <cell r="B30">
            <v>235</v>
          </cell>
          <cell r="D30">
            <v>220.12175324675323</v>
          </cell>
          <cell r="G30">
            <v>135.43019480519482</v>
          </cell>
        </row>
        <row r="31">
          <cell r="A31" t="str">
            <v>Silage ($/ton)</v>
          </cell>
          <cell r="B31">
            <v>49.28</v>
          </cell>
          <cell r="D31">
            <v>46.16</v>
          </cell>
          <cell r="G31">
            <v>28.4</v>
          </cell>
        </row>
        <row r="32">
          <cell r="A32" t="str">
            <v>Prairie Hay ($/ton)</v>
          </cell>
          <cell r="B32">
            <v>125</v>
          </cell>
          <cell r="D32">
            <v>117.08603896103895</v>
          </cell>
          <cell r="G32">
            <v>72.037337662337663</v>
          </cell>
        </row>
        <row r="33">
          <cell r="A33" t="str">
            <v>Alfalfa ($/ton)</v>
          </cell>
          <cell r="B33">
            <v>145</v>
          </cell>
          <cell r="D33">
            <v>135.81980519480518</v>
          </cell>
          <cell r="G33">
            <v>83.563311688311686</v>
          </cell>
        </row>
        <row r="34">
          <cell r="A34" t="str">
            <v>Dairy Alfalfa ($/ton)</v>
          </cell>
          <cell r="B34">
            <v>225</v>
          </cell>
          <cell r="D34">
            <v>210.75487012987011</v>
          </cell>
          <cell r="G34">
            <v>129.66720779220779</v>
          </cell>
        </row>
        <row r="35">
          <cell r="A35" t="str">
            <v>Pasture Rental ($/acre)</v>
          </cell>
          <cell r="B35">
            <v>20.5</v>
          </cell>
          <cell r="D35">
            <v>20.91</v>
          </cell>
          <cell r="G35">
            <v>22.55</v>
          </cell>
        </row>
        <row r="36">
          <cell r="A36" t="str">
            <v>Crop Residue ($/acre)</v>
          </cell>
          <cell r="B36">
            <v>16</v>
          </cell>
          <cell r="D36">
            <v>16.32</v>
          </cell>
          <cell r="G36">
            <v>17.600000000000001</v>
          </cell>
        </row>
        <row r="37">
          <cell r="A37" t="str">
            <v>Beef Cow Mineral ($/ton)</v>
          </cell>
          <cell r="B37">
            <v>950</v>
          </cell>
          <cell r="D37">
            <v>969</v>
          </cell>
          <cell r="G37">
            <v>1045</v>
          </cell>
        </row>
        <row r="38">
          <cell r="A38" t="str">
            <v>Other Beef Mineral ($/ton)</v>
          </cell>
          <cell r="B38">
            <v>650</v>
          </cell>
          <cell r="D38">
            <v>663</v>
          </cell>
          <cell r="G38">
            <v>715.00000000000011</v>
          </cell>
        </row>
        <row r="39">
          <cell r="A39" t="str">
            <v>Swine Feed processing ($/ton) charge</v>
          </cell>
          <cell r="B39">
            <v>18</v>
          </cell>
          <cell r="D39">
            <v>18</v>
          </cell>
          <cell r="G39">
            <v>18</v>
          </cell>
        </row>
        <row r="40">
          <cell r="A40" t="str">
            <v>Other Feed Ingredients ($/lb, Farrow-Finish)</v>
          </cell>
          <cell r="B40">
            <v>0.13494588922460274</v>
          </cell>
          <cell r="D40">
            <v>0.13629534811684876</v>
          </cell>
          <cell r="G40">
            <v>0.13764480700909479</v>
          </cell>
        </row>
        <row r="41">
          <cell r="A41" t="str">
            <v>Other Feed Ingredients ($/lb, Farrow-Wean)</v>
          </cell>
          <cell r="B41">
            <v>0.20277752822665265</v>
          </cell>
          <cell r="D41">
            <v>0.20480530350891918</v>
          </cell>
          <cell r="G41">
            <v>0.2068330787911857</v>
          </cell>
        </row>
        <row r="42">
          <cell r="A42" t="str">
            <v>Other Feed Ingredients ($/lb, Wean-Finish)</v>
          </cell>
          <cell r="B42">
            <v>0.29337424167505716</v>
          </cell>
          <cell r="D42">
            <v>0.29630798409180775</v>
          </cell>
          <cell r="G42">
            <v>0.29924172650855829</v>
          </cell>
        </row>
        <row r="43">
          <cell r="A43" t="str">
            <v>Other Feed Ingredients ($/lb, Nursery)</v>
          </cell>
          <cell r="B43">
            <v>0.38740272553688754</v>
          </cell>
          <cell r="D43">
            <v>0.39127675279225643</v>
          </cell>
          <cell r="G43">
            <v>0.39515078004762527</v>
          </cell>
        </row>
        <row r="44">
          <cell r="A44" t="str">
            <v>Other Feed Ingredients ($/lb, Finish)</v>
          </cell>
          <cell r="B44">
            <v>0.24720881108861548</v>
          </cell>
          <cell r="D44">
            <v>0.24968089919950162</v>
          </cell>
          <cell r="G44">
            <v>0.25215298731038777</v>
          </cell>
        </row>
        <row r="46">
          <cell r="A46" t="str">
            <v>Hide from here down when published</v>
          </cell>
        </row>
        <row r="47">
          <cell r="A47" t="str">
            <v>Corn, Yellow Dent</v>
          </cell>
          <cell r="B47">
            <v>0.11</v>
          </cell>
          <cell r="C47" t="str">
            <v>USDA St. Joseph, MO SJ_GR851 Report (http://www.ams.usda.gov/mnreports/sj_gr851.txt)</v>
          </cell>
          <cell r="D47">
            <v>0.1111</v>
          </cell>
          <cell r="G47">
            <v>0.11220000000000001</v>
          </cell>
        </row>
        <row r="48">
          <cell r="A48" t="str">
            <v>Corn, Nutridense</v>
          </cell>
          <cell r="B48">
            <v>4.8000000000000001E-2</v>
          </cell>
          <cell r="C48" t="str">
            <v>USDA St. Joseph, MO SJ_GR210 Report (http://www.ams.usda.gov/mnreports/sj_gr210.txt)</v>
          </cell>
          <cell r="D48">
            <v>4.8480000000000002E-2</v>
          </cell>
          <cell r="G48">
            <v>4.8960000000000004E-2</v>
          </cell>
        </row>
        <row r="49">
          <cell r="A49" t="str">
            <v>Corn Bran</v>
          </cell>
          <cell r="C49" t="str">
            <v>USDA St. Joseph, MO NW_GR112 Report (http://www.ams.usda.gov/mnreports/nw_gr112.txt)</v>
          </cell>
          <cell r="D49">
            <v>0</v>
          </cell>
          <cell r="G49">
            <v>0</v>
          </cell>
        </row>
        <row r="50">
          <cell r="A50" t="str">
            <v>Corn DDG</v>
          </cell>
          <cell r="C50">
            <v>0</v>
          </cell>
          <cell r="D50">
            <v>0</v>
          </cell>
          <cell r="G50">
            <v>0</v>
          </cell>
        </row>
        <row r="51">
          <cell r="A51" t="str">
            <v>Corn DDGS, &gt;10% Oil</v>
          </cell>
          <cell r="B51">
            <v>0.125</v>
          </cell>
          <cell r="C51">
            <v>0</v>
          </cell>
          <cell r="D51">
            <v>0.12625</v>
          </cell>
          <cell r="G51">
            <v>0.1275</v>
          </cell>
        </row>
        <row r="52">
          <cell r="A52" t="str">
            <v>Corn DDGS, &gt;6 and &lt;9% Oil</v>
          </cell>
          <cell r="B52">
            <v>7.8E-2</v>
          </cell>
          <cell r="C52">
            <v>0</v>
          </cell>
          <cell r="D52">
            <v>7.8780000000000003E-2</v>
          </cell>
          <cell r="G52">
            <v>7.9560000000000006E-2</v>
          </cell>
        </row>
        <row r="53">
          <cell r="A53" t="str">
            <v>Corn DDGS, &lt;4% Oil</v>
          </cell>
          <cell r="C53">
            <v>0</v>
          </cell>
          <cell r="D53">
            <v>0</v>
          </cell>
          <cell r="G53">
            <v>0</v>
          </cell>
        </row>
        <row r="54">
          <cell r="A54" t="str">
            <v>Corn HP DDG</v>
          </cell>
          <cell r="B54">
            <v>0.06</v>
          </cell>
          <cell r="C54">
            <v>0</v>
          </cell>
          <cell r="D54">
            <v>6.0600000000000001E-2</v>
          </cell>
          <cell r="G54">
            <v>6.1199999999999997E-2</v>
          </cell>
        </row>
        <row r="55">
          <cell r="A55" t="str">
            <v>Soybean Meal, Dehull, Sol Extr2</v>
          </cell>
          <cell r="C55">
            <v>0</v>
          </cell>
          <cell r="D55">
            <v>0</v>
          </cell>
          <cell r="G55">
            <v>0</v>
          </cell>
        </row>
        <row r="56">
          <cell r="A56" t="str">
            <v>Soybean Meal, Dehulled, Expelled2</v>
          </cell>
          <cell r="C56">
            <v>0</v>
          </cell>
          <cell r="D56">
            <v>0</v>
          </cell>
          <cell r="G56">
            <v>0</v>
          </cell>
        </row>
        <row r="57">
          <cell r="A57" t="str">
            <v>Soybean Meal, Solvent Extracted2</v>
          </cell>
          <cell r="C57" t="str">
            <v>USDA St. Joseph, MO SJ_GR851 Report (http://www.ams.usda.gov/mnreports/sj_gr851.txt)</v>
          </cell>
          <cell r="D57">
            <v>0</v>
          </cell>
          <cell r="G57">
            <v>0</v>
          </cell>
        </row>
        <row r="58">
          <cell r="A58" t="str">
            <v>Corn Gluten Meal</v>
          </cell>
          <cell r="C58" t="str">
            <v>USDA St. Joseph, MO SJ_GR210 Report (http://www.ams.usda.gov/mnreports/sj_gr210.txt)</v>
          </cell>
          <cell r="D58">
            <v>0</v>
          </cell>
          <cell r="G58">
            <v>0</v>
          </cell>
        </row>
        <row r="59">
          <cell r="A59" t="str">
            <v>Corn Grits, Hominy Feed</v>
          </cell>
          <cell r="B59">
            <v>4.4999999999999998E-2</v>
          </cell>
          <cell r="C59" t="str">
            <v>USDA St. Joseph, MO NW_GR112 Report (http://www.ams.usda.gov/mnreports/nw_gr112.txt)</v>
          </cell>
          <cell r="D59">
            <v>4.5449999999999997E-2</v>
          </cell>
          <cell r="G59">
            <v>4.5899999999999996E-2</v>
          </cell>
        </row>
        <row r="60">
          <cell r="A60" t="str">
            <v>Cotton Seeds, Fullfat</v>
          </cell>
          <cell r="C60">
            <v>0</v>
          </cell>
          <cell r="D60">
            <v>0</v>
          </cell>
          <cell r="G60">
            <v>0</v>
          </cell>
        </row>
        <row r="61">
          <cell r="A61" t="str">
            <v>Cotton Seed Meal</v>
          </cell>
          <cell r="C61">
            <v>0</v>
          </cell>
          <cell r="D61">
            <v>0</v>
          </cell>
          <cell r="G61">
            <v>0</v>
          </cell>
        </row>
        <row r="62">
          <cell r="A62" t="str">
            <v>Feather Meal</v>
          </cell>
          <cell r="C62">
            <v>0</v>
          </cell>
          <cell r="D62">
            <v>0</v>
          </cell>
          <cell r="G62">
            <v>0</v>
          </cell>
        </row>
        <row r="63">
          <cell r="A63" t="str">
            <v>Fish Meal Combined</v>
          </cell>
          <cell r="B63">
            <v>0.7</v>
          </cell>
          <cell r="C63">
            <v>0</v>
          </cell>
          <cell r="D63">
            <v>0.70699999999999996</v>
          </cell>
          <cell r="G63">
            <v>0.71399999999999997</v>
          </cell>
        </row>
        <row r="64">
          <cell r="A64" t="str">
            <v>Flaxseed</v>
          </cell>
          <cell r="C64">
            <v>0</v>
          </cell>
          <cell r="D64">
            <v>0</v>
          </cell>
          <cell r="G64">
            <v>0</v>
          </cell>
        </row>
        <row r="65">
          <cell r="A65" t="str">
            <v>Flaxseed Meal</v>
          </cell>
          <cell r="C65">
            <v>0</v>
          </cell>
          <cell r="D65">
            <v>0</v>
          </cell>
          <cell r="G65">
            <v>0</v>
          </cell>
        </row>
        <row r="66">
          <cell r="A66" t="str">
            <v>Lupins</v>
          </cell>
          <cell r="C66">
            <v>0</v>
          </cell>
          <cell r="D66">
            <v>0</v>
          </cell>
          <cell r="G66">
            <v>0</v>
          </cell>
        </row>
        <row r="67">
          <cell r="A67" t="str">
            <v>Meat Meal</v>
          </cell>
          <cell r="C67" t="str">
            <v>USDA St. Joseph, MO SJ_GR851 Report (http://www.ams.usda.gov/mnreports/sj_gr851.txt)</v>
          </cell>
          <cell r="D67">
            <v>0</v>
          </cell>
          <cell r="G67">
            <v>0</v>
          </cell>
        </row>
        <row r="68">
          <cell r="A68" t="str">
            <v>Meat and Bone Meal, P &gt;4%</v>
          </cell>
          <cell r="B68">
            <v>0.15</v>
          </cell>
          <cell r="C68" t="str">
            <v>USDA St. Joseph, MO SJ_GR210 Report (http://www.ams.usda.gov/mnreports/sj_gr210.txt)</v>
          </cell>
          <cell r="D68">
            <v>0.1515</v>
          </cell>
          <cell r="G68">
            <v>0.153</v>
          </cell>
        </row>
        <row r="69">
          <cell r="A69" t="str">
            <v>Milk, Casein</v>
          </cell>
          <cell r="C69" t="str">
            <v>USDA St. Joseph, MO NW_GR112 Report (http://www.ams.usda.gov/mnreports/nw_gr112.txt)</v>
          </cell>
          <cell r="D69">
            <v>0</v>
          </cell>
          <cell r="G69">
            <v>0</v>
          </cell>
        </row>
        <row r="70">
          <cell r="A70" t="str">
            <v>Milk, Lactose</v>
          </cell>
          <cell r="B70">
            <v>0.3</v>
          </cell>
          <cell r="C70">
            <v>0</v>
          </cell>
          <cell r="D70">
            <v>0.30299999999999999</v>
          </cell>
          <cell r="G70">
            <v>0.30599999999999999</v>
          </cell>
        </row>
        <row r="71">
          <cell r="A71" t="str">
            <v>Milk, Skim Milk Powder</v>
          </cell>
          <cell r="B71">
            <v>1.2</v>
          </cell>
          <cell r="C71">
            <v>0</v>
          </cell>
          <cell r="D71">
            <v>1.212</v>
          </cell>
          <cell r="G71">
            <v>1.224</v>
          </cell>
        </row>
        <row r="72">
          <cell r="A72" t="str">
            <v>Milk, Whey Powder</v>
          </cell>
          <cell r="B72">
            <v>0.55000000000000004</v>
          </cell>
          <cell r="C72">
            <v>0</v>
          </cell>
          <cell r="D72">
            <v>0.5555000000000001</v>
          </cell>
          <cell r="G72">
            <v>0.56100000000000005</v>
          </cell>
        </row>
        <row r="73">
          <cell r="A73" t="str">
            <v>Milk, Whey Permeate, 85% lactose</v>
          </cell>
          <cell r="B73">
            <v>0.45</v>
          </cell>
          <cell r="C73">
            <v>0</v>
          </cell>
          <cell r="D73">
            <v>0.45450000000000002</v>
          </cell>
          <cell r="G73">
            <v>0.45900000000000002</v>
          </cell>
        </row>
        <row r="74">
          <cell r="A74" t="str">
            <v>Milk, Whey Protein Concentrate</v>
          </cell>
          <cell r="C74">
            <v>0</v>
          </cell>
          <cell r="D74">
            <v>0</v>
          </cell>
          <cell r="G74">
            <v>0</v>
          </cell>
        </row>
        <row r="75">
          <cell r="A75" t="str">
            <v>Millet</v>
          </cell>
          <cell r="C75">
            <v>0</v>
          </cell>
          <cell r="D75">
            <v>0</v>
          </cell>
          <cell r="G75">
            <v>0</v>
          </cell>
        </row>
        <row r="76">
          <cell r="A76" t="str">
            <v>Molasses, Sugarbeet</v>
          </cell>
          <cell r="C76">
            <v>0</v>
          </cell>
          <cell r="D76">
            <v>0</v>
          </cell>
          <cell r="G76">
            <v>0</v>
          </cell>
        </row>
        <row r="77">
          <cell r="A77" t="str">
            <v>Molasses, Sugarcane</v>
          </cell>
          <cell r="C77" t="str">
            <v>USDA St. Joseph, MO SJ_GR851 Report (http://www.ams.usda.gov/mnreports/sj_gr851.txt)</v>
          </cell>
          <cell r="D77">
            <v>0</v>
          </cell>
          <cell r="G77">
            <v>0</v>
          </cell>
        </row>
        <row r="78">
          <cell r="A78" t="str">
            <v>Oats</v>
          </cell>
          <cell r="C78" t="str">
            <v>USDA St. Joseph, MO SJ_GR210 Report (http://www.ams.usda.gov/mnreports/sj_gr210.txt)</v>
          </cell>
          <cell r="D78">
            <v>0</v>
          </cell>
          <cell r="G78">
            <v>0</v>
          </cell>
        </row>
        <row r="79">
          <cell r="A79" t="str">
            <v>Oats, Naked</v>
          </cell>
          <cell r="C79" t="str">
            <v>USDA St. Joseph, MO NW_GR112 Report (http://www.ams.usda.gov/mnreports/nw_gr112.txt)</v>
          </cell>
          <cell r="D79">
            <v>0</v>
          </cell>
          <cell r="G79">
            <v>0</v>
          </cell>
        </row>
        <row r="80">
          <cell r="A80" t="str">
            <v>Oat Groats</v>
          </cell>
          <cell r="B80">
            <v>0.17499999999999999</v>
          </cell>
          <cell r="C80">
            <v>0</v>
          </cell>
          <cell r="D80">
            <v>0.17674999999999999</v>
          </cell>
          <cell r="G80">
            <v>0.17849999999999999</v>
          </cell>
        </row>
        <row r="81">
          <cell r="A81" t="str">
            <v>Peanut Meal, Expelled</v>
          </cell>
          <cell r="C81">
            <v>0</v>
          </cell>
          <cell r="D81">
            <v>0</v>
          </cell>
          <cell r="G81">
            <v>0</v>
          </cell>
        </row>
        <row r="82">
          <cell r="A82" t="str">
            <v>Peanut Meal, Extracted</v>
          </cell>
          <cell r="C82">
            <v>0</v>
          </cell>
          <cell r="D82">
            <v>0</v>
          </cell>
          <cell r="G82">
            <v>0</v>
          </cell>
        </row>
        <row r="83">
          <cell r="A83" t="str">
            <v>Peas, Field Peas</v>
          </cell>
          <cell r="B83">
            <v>0.08</v>
          </cell>
          <cell r="C83">
            <v>0</v>
          </cell>
          <cell r="D83">
            <v>8.0799999999999997E-2</v>
          </cell>
          <cell r="G83">
            <v>8.1600000000000006E-2</v>
          </cell>
        </row>
        <row r="84">
          <cell r="A84" t="str">
            <v>Pea Protein Concentrate</v>
          </cell>
          <cell r="C84">
            <v>0</v>
          </cell>
          <cell r="D84">
            <v>0</v>
          </cell>
          <cell r="G84">
            <v>0</v>
          </cell>
        </row>
        <row r="85">
          <cell r="A85" t="str">
            <v>Potato Protein Concentrate</v>
          </cell>
          <cell r="C85">
            <v>0</v>
          </cell>
          <cell r="D85">
            <v>0</v>
          </cell>
          <cell r="G85">
            <v>0</v>
          </cell>
        </row>
        <row r="86">
          <cell r="A86" t="str">
            <v>Poultry Byproduct</v>
          </cell>
          <cell r="B86">
            <v>0.12</v>
          </cell>
          <cell r="C86">
            <v>0</v>
          </cell>
          <cell r="D86">
            <v>0.1212</v>
          </cell>
          <cell r="G86">
            <v>0.12239999999999999</v>
          </cell>
        </row>
        <row r="87">
          <cell r="A87" t="str">
            <v>Rice</v>
          </cell>
          <cell r="C87" t="str">
            <v>USDA St. Joseph, MO SJ_GR851 Report (http://www.ams.usda.gov/mnreports/sj_gr851.txt)</v>
          </cell>
          <cell r="D87">
            <v>0</v>
          </cell>
          <cell r="G87">
            <v>0</v>
          </cell>
        </row>
        <row r="88">
          <cell r="A88" t="str">
            <v>Rice Bran</v>
          </cell>
          <cell r="C88" t="str">
            <v>USDA St. Joseph, MO SJ_GR210 Report (http://www.ams.usda.gov/mnreports/sj_gr210.txt)</v>
          </cell>
          <cell r="D88">
            <v>0</v>
          </cell>
          <cell r="G88">
            <v>0</v>
          </cell>
        </row>
        <row r="89">
          <cell r="A89" t="str">
            <v>Rice Bran, Defatted</v>
          </cell>
          <cell r="C89" t="str">
            <v>USDA St. Joseph, MO NW_GR112 Report (http://www.ams.usda.gov/mnreports/nw_gr112.txt)</v>
          </cell>
          <cell r="D89">
            <v>0</v>
          </cell>
          <cell r="G89">
            <v>0</v>
          </cell>
        </row>
        <row r="90">
          <cell r="A90" t="str">
            <v>Rice, Broken</v>
          </cell>
          <cell r="C90">
            <v>0</v>
          </cell>
          <cell r="D90">
            <v>0</v>
          </cell>
          <cell r="G90">
            <v>0</v>
          </cell>
        </row>
        <row r="91">
          <cell r="A91" t="str">
            <v>Rye</v>
          </cell>
          <cell r="C91">
            <v>0</v>
          </cell>
          <cell r="D91">
            <v>0</v>
          </cell>
          <cell r="G91">
            <v>0</v>
          </cell>
        </row>
        <row r="92">
          <cell r="A92" t="str">
            <v>Sesame Meal</v>
          </cell>
          <cell r="C92">
            <v>0</v>
          </cell>
          <cell r="D92">
            <v>0</v>
          </cell>
          <cell r="G92">
            <v>0</v>
          </cell>
        </row>
        <row r="93">
          <cell r="A93" t="str">
            <v>Sorghum</v>
          </cell>
          <cell r="B93">
            <v>0.1</v>
          </cell>
          <cell r="C93">
            <v>0</v>
          </cell>
          <cell r="D93">
            <v>0.10100000000000001</v>
          </cell>
          <cell r="G93">
            <v>0.10200000000000001</v>
          </cell>
        </row>
        <row r="94">
          <cell r="A94" t="str">
            <v>Soybeans, Full Fat</v>
          </cell>
          <cell r="B94">
            <v>0.2</v>
          </cell>
          <cell r="C94">
            <v>0</v>
          </cell>
          <cell r="D94">
            <v>0.20200000000000001</v>
          </cell>
          <cell r="G94">
            <v>0.20400000000000001</v>
          </cell>
        </row>
        <row r="95">
          <cell r="A95" t="str">
            <v>Soybeans, High Protein, Full Fat</v>
          </cell>
          <cell r="C95">
            <v>0</v>
          </cell>
          <cell r="D95">
            <v>0</v>
          </cell>
          <cell r="G95">
            <v>0</v>
          </cell>
        </row>
        <row r="96">
          <cell r="A96" t="str">
            <v>Soybeans, Low Oligosaccharide, Full Fat</v>
          </cell>
          <cell r="C96">
            <v>0</v>
          </cell>
          <cell r="D96">
            <v>0</v>
          </cell>
          <cell r="G96">
            <v>0</v>
          </cell>
        </row>
        <row r="97">
          <cell r="A97" t="str">
            <v>Soybean Meal, High Protein, Expelled</v>
          </cell>
          <cell r="C97" t="str">
            <v>USDA St. Joseph, MO SJ_GR851 Report (http://www.ams.usda.gov/mnreports/sj_gr851.txt)</v>
          </cell>
          <cell r="D97">
            <v>0</v>
          </cell>
          <cell r="G97">
            <v>0</v>
          </cell>
        </row>
        <row r="98">
          <cell r="A98" t="str">
            <v>Soybean Meal, Low Oligosacch, Expell</v>
          </cell>
          <cell r="C98" t="str">
            <v>USDA St. Joseph, MO SJ_GR210 Report (http://www.ams.usda.gov/mnreports/sj_gr210.txt)</v>
          </cell>
          <cell r="D98">
            <v>0</v>
          </cell>
          <cell r="G98">
            <v>0</v>
          </cell>
        </row>
        <row r="99">
          <cell r="A99" t="str">
            <v>Soybean Meal, Expelled</v>
          </cell>
          <cell r="C99" t="str">
            <v>USDA St. Joseph, MO NW_GR112 Report (http://www.ams.usda.gov/mnreports/nw_gr112.txt)</v>
          </cell>
          <cell r="D99">
            <v>0</v>
          </cell>
          <cell r="G99">
            <v>0</v>
          </cell>
        </row>
        <row r="100">
          <cell r="A100" t="str">
            <v>Soybean Meal, Dehulled, Expelled</v>
          </cell>
          <cell r="B100">
            <v>0.17499999999999999</v>
          </cell>
          <cell r="C100">
            <v>0</v>
          </cell>
          <cell r="D100">
            <v>0.17674999999999999</v>
          </cell>
          <cell r="G100">
            <v>0.17849999999999999</v>
          </cell>
        </row>
        <row r="101">
          <cell r="A101" t="str">
            <v>Soybean Meal, Solvent Extracted</v>
          </cell>
          <cell r="B101">
            <v>0.155</v>
          </cell>
          <cell r="C101">
            <v>0</v>
          </cell>
          <cell r="D101">
            <v>0.15654999999999999</v>
          </cell>
          <cell r="G101">
            <v>0.15809999999999999</v>
          </cell>
        </row>
        <row r="102">
          <cell r="A102" t="str">
            <v>Soybean Meal, Dehull, Sol Extr</v>
          </cell>
          <cell r="B102">
            <v>0.19244999999999998</v>
          </cell>
          <cell r="C102" t="str">
            <v>USDA St. Joseph, MO SJ_GR210 Report (http://www.ams.usda.gov/mnreports/sj_gr210.txt)</v>
          </cell>
          <cell r="D102">
            <v>0.19437449999999998</v>
          </cell>
          <cell r="G102">
            <v>0.19629899999999997</v>
          </cell>
        </row>
        <row r="103">
          <cell r="A103" t="str">
            <v>Soybean Meal, High Prot, Dehull, Solv Extr</v>
          </cell>
          <cell r="B103">
            <v>0.32</v>
          </cell>
          <cell r="D103">
            <v>0.32319999999999999</v>
          </cell>
          <cell r="G103">
            <v>0.32640000000000002</v>
          </cell>
        </row>
        <row r="104">
          <cell r="A104" t="str">
            <v>Soybean Meal, Enzyme Treated</v>
          </cell>
          <cell r="B104">
            <v>0.02</v>
          </cell>
          <cell r="D104">
            <v>2.0199999999999999E-2</v>
          </cell>
          <cell r="G104">
            <v>2.0400000000000001E-2</v>
          </cell>
        </row>
        <row r="105">
          <cell r="A105" t="str">
            <v>Soybean Meal, Fermented</v>
          </cell>
          <cell r="B105">
            <v>3.5000000000000003E-2</v>
          </cell>
          <cell r="D105">
            <v>3.5350000000000006E-2</v>
          </cell>
          <cell r="G105">
            <v>3.5700000000000003E-2</v>
          </cell>
        </row>
        <row r="106">
          <cell r="A106" t="str">
            <v>Soybean Hulls</v>
          </cell>
          <cell r="B106">
            <v>4.8000000000000001E-2</v>
          </cell>
          <cell r="D106">
            <v>4.8480000000000002E-2</v>
          </cell>
          <cell r="G106">
            <v>4.8960000000000004E-2</v>
          </cell>
        </row>
        <row r="107">
          <cell r="A107" t="str">
            <v>Soy Protein Concentrate</v>
          </cell>
          <cell r="B107">
            <v>0.55000000000000004</v>
          </cell>
          <cell r="D107">
            <v>0.5555000000000001</v>
          </cell>
          <cell r="G107">
            <v>0.56100000000000005</v>
          </cell>
        </row>
        <row r="108">
          <cell r="A108" t="str">
            <v>Soy Protein Isolate</v>
          </cell>
          <cell r="B108">
            <v>0.17499999999999999</v>
          </cell>
          <cell r="D108">
            <v>0.17674999999999999</v>
          </cell>
          <cell r="G108">
            <v>0.17849999999999999</v>
          </cell>
        </row>
        <row r="109">
          <cell r="A109" t="str">
            <v>Sugar Beet Pulp</v>
          </cell>
          <cell r="B109">
            <v>0.2</v>
          </cell>
          <cell r="D109">
            <v>0.20200000000000001</v>
          </cell>
          <cell r="G109">
            <v>0.20400000000000001</v>
          </cell>
        </row>
        <row r="110">
          <cell r="A110" t="str">
            <v>Sunflower, Full Fat</v>
          </cell>
          <cell r="B110">
            <v>0</v>
          </cell>
          <cell r="D110">
            <v>0</v>
          </cell>
          <cell r="G110">
            <v>0</v>
          </cell>
        </row>
        <row r="111">
          <cell r="A111" t="str">
            <v>Sunflower Meal, Solvent Extracted</v>
          </cell>
          <cell r="B111">
            <v>0</v>
          </cell>
          <cell r="D111">
            <v>0</v>
          </cell>
          <cell r="G111">
            <v>0</v>
          </cell>
        </row>
        <row r="112">
          <cell r="A112" t="str">
            <v>Sunflower Meal, Dehulled, Solvent Extr</v>
          </cell>
          <cell r="B112">
            <v>0</v>
          </cell>
          <cell r="D112">
            <v>0</v>
          </cell>
          <cell r="G112">
            <v>0</v>
          </cell>
        </row>
        <row r="113">
          <cell r="A113" t="str">
            <v>Triticale</v>
          </cell>
          <cell r="B113">
            <v>0</v>
          </cell>
          <cell r="D113">
            <v>0</v>
          </cell>
          <cell r="G113">
            <v>0</v>
          </cell>
        </row>
        <row r="114">
          <cell r="A114" t="str">
            <v>Wheat, Hard Red</v>
          </cell>
          <cell r="B114">
            <v>0.06</v>
          </cell>
          <cell r="D114">
            <v>6.0600000000000001E-2</v>
          </cell>
          <cell r="G114">
            <v>6.1199999999999997E-2</v>
          </cell>
        </row>
        <row r="115">
          <cell r="A115" t="str">
            <v>Wheat, Soft Red</v>
          </cell>
          <cell r="B115">
            <v>0.45</v>
          </cell>
          <cell r="D115">
            <v>0.45450000000000002</v>
          </cell>
          <cell r="G115">
            <v>0.45900000000000002</v>
          </cell>
        </row>
        <row r="116">
          <cell r="A116" t="str">
            <v>Wheat Bran</v>
          </cell>
          <cell r="B116">
            <v>0.05</v>
          </cell>
          <cell r="D116">
            <v>5.0500000000000003E-2</v>
          </cell>
          <cell r="G116">
            <v>5.1000000000000004E-2</v>
          </cell>
        </row>
        <row r="117">
          <cell r="A117" t="str">
            <v>Wheat Middlings</v>
          </cell>
          <cell r="B117">
            <v>0.12</v>
          </cell>
          <cell r="D117">
            <v>0.1212</v>
          </cell>
          <cell r="G117">
            <v>0.12239999999999999</v>
          </cell>
        </row>
        <row r="118">
          <cell r="A118" t="str">
            <v>Wheat Shorts</v>
          </cell>
          <cell r="B118">
            <v>0</v>
          </cell>
          <cell r="D118">
            <v>0</v>
          </cell>
          <cell r="G118">
            <v>0</v>
          </cell>
        </row>
        <row r="119">
          <cell r="A119" t="str">
            <v>Wheat DDGS</v>
          </cell>
          <cell r="B119">
            <v>0</v>
          </cell>
          <cell r="D119">
            <v>0</v>
          </cell>
          <cell r="G119">
            <v>0</v>
          </cell>
        </row>
        <row r="120">
          <cell r="A120" t="str">
            <v>Yeast, Brewers' Yeast</v>
          </cell>
          <cell r="B120">
            <v>0</v>
          </cell>
          <cell r="D120">
            <v>0</v>
          </cell>
          <cell r="G120">
            <v>0</v>
          </cell>
        </row>
        <row r="121">
          <cell r="A121" t="str">
            <v>Yeast, Single Cell Protein</v>
          </cell>
          <cell r="B121">
            <v>0</v>
          </cell>
          <cell r="D121">
            <v>0</v>
          </cell>
          <cell r="G121">
            <v>0</v>
          </cell>
        </row>
        <row r="122">
          <cell r="A122" t="str">
            <v>Beef Tallow</v>
          </cell>
          <cell r="B122">
            <v>0.4</v>
          </cell>
          <cell r="D122">
            <v>0.40400000000000003</v>
          </cell>
          <cell r="G122">
            <v>0.40800000000000003</v>
          </cell>
        </row>
        <row r="123">
          <cell r="A123" t="str">
            <v>Choice White Grease</v>
          </cell>
          <cell r="B123">
            <v>0.42</v>
          </cell>
          <cell r="D123">
            <v>0.42419999999999997</v>
          </cell>
          <cell r="G123">
            <v>0.4284</v>
          </cell>
        </row>
        <row r="124">
          <cell r="A124" t="str">
            <v>Poultry Fat</v>
          </cell>
          <cell r="B124">
            <v>2.7</v>
          </cell>
          <cell r="D124">
            <v>2.7270000000000003</v>
          </cell>
          <cell r="G124">
            <v>2.7540000000000004</v>
          </cell>
        </row>
        <row r="125">
          <cell r="A125" t="str">
            <v>Lard</v>
          </cell>
          <cell r="B125">
            <v>1.25</v>
          </cell>
          <cell r="D125">
            <v>1.2625</v>
          </cell>
          <cell r="G125">
            <v>1.2749999999999999</v>
          </cell>
        </row>
        <row r="126">
          <cell r="A126" t="str">
            <v>Restaurant Grease</v>
          </cell>
          <cell r="B126">
            <v>0.38</v>
          </cell>
          <cell r="D126">
            <v>0.38380000000000003</v>
          </cell>
          <cell r="G126">
            <v>0.3876</v>
          </cell>
        </row>
        <row r="127">
          <cell r="A127" t="str">
            <v>Canola oil</v>
          </cell>
          <cell r="B127">
            <v>1.2</v>
          </cell>
          <cell r="D127">
            <v>1.212</v>
          </cell>
          <cell r="G127">
            <v>1.224</v>
          </cell>
        </row>
        <row r="128">
          <cell r="A128" t="str">
            <v>Coconut oil</v>
          </cell>
          <cell r="B128">
            <v>7</v>
          </cell>
          <cell r="D128">
            <v>7.07</v>
          </cell>
          <cell r="G128">
            <v>7.1400000000000006</v>
          </cell>
        </row>
        <row r="129">
          <cell r="A129" t="str">
            <v>Corn oil</v>
          </cell>
          <cell r="B129">
            <v>7</v>
          </cell>
          <cell r="D129">
            <v>7.07</v>
          </cell>
          <cell r="G129">
            <v>7.1400000000000006</v>
          </cell>
        </row>
        <row r="130">
          <cell r="A130" t="str">
            <v>Palm Kernel oil</v>
          </cell>
          <cell r="B130">
            <v>0</v>
          </cell>
          <cell r="D130">
            <v>0</v>
          </cell>
          <cell r="G130">
            <v>0</v>
          </cell>
        </row>
        <row r="131">
          <cell r="A131" t="str">
            <v>Soybean oil</v>
          </cell>
          <cell r="B131">
            <v>0.38</v>
          </cell>
          <cell r="D131">
            <v>0.38380000000000003</v>
          </cell>
          <cell r="G131">
            <v>0.3876</v>
          </cell>
        </row>
        <row r="132">
          <cell r="A132" t="str">
            <v>Soybean Lecithin</v>
          </cell>
          <cell r="B132">
            <v>0.7</v>
          </cell>
          <cell r="D132">
            <v>0.70699999999999996</v>
          </cell>
          <cell r="G132">
            <v>0.71399999999999997</v>
          </cell>
        </row>
        <row r="133">
          <cell r="A133" t="str">
            <v>Sunflower oil</v>
          </cell>
          <cell r="B133">
            <v>0.6</v>
          </cell>
          <cell r="D133">
            <v>0.60599999999999998</v>
          </cell>
          <cell r="G133">
            <v>0.61199999999999999</v>
          </cell>
        </row>
        <row r="134">
          <cell r="A134" t="str">
            <v>Fat, A/V blend</v>
          </cell>
          <cell r="B134">
            <v>2.2000000000000002</v>
          </cell>
          <cell r="D134">
            <v>2.2220000000000004</v>
          </cell>
          <cell r="G134">
            <v>2.2440000000000002</v>
          </cell>
        </row>
        <row r="135">
          <cell r="A135" t="str">
            <v>Calcium carbonate</v>
          </cell>
          <cell r="B135">
            <v>0</v>
          </cell>
          <cell r="D135">
            <v>0</v>
          </cell>
          <cell r="G135">
            <v>0</v>
          </cell>
        </row>
        <row r="136">
          <cell r="A136" t="str">
            <v>Calcium phosphate (tricalcium)</v>
          </cell>
          <cell r="B136">
            <v>0</v>
          </cell>
          <cell r="D136">
            <v>0</v>
          </cell>
          <cell r="G136">
            <v>0</v>
          </cell>
        </row>
        <row r="137">
          <cell r="A137" t="str">
            <v>Calcium phosphate (dicalcium)</v>
          </cell>
          <cell r="B137">
            <v>0.3</v>
          </cell>
          <cell r="D137">
            <v>0.30299999999999999</v>
          </cell>
          <cell r="G137">
            <v>0.30599999999999999</v>
          </cell>
        </row>
        <row r="138">
          <cell r="A138" t="str">
            <v>Calcium phosphate (monocalcium)</v>
          </cell>
          <cell r="B138">
            <v>0.32800000000000001</v>
          </cell>
          <cell r="C138" t="str">
            <v>KSU ration (Apr 2015)</v>
          </cell>
          <cell r="D138">
            <v>0.33128000000000002</v>
          </cell>
          <cell r="E138" t="str">
            <v>Assumes 1% increase</v>
          </cell>
          <cell r="G138">
            <v>0.33456000000000002</v>
          </cell>
        </row>
        <row r="139">
          <cell r="A139" t="str">
            <v>Calcium sulfate, dihydrate</v>
          </cell>
          <cell r="B139">
            <v>0</v>
          </cell>
          <cell r="C139" t="str">
            <v>KSU ration (Apr 2015)</v>
          </cell>
          <cell r="D139">
            <v>0</v>
          </cell>
          <cell r="E139" t="str">
            <v>Assumes 1% increase</v>
          </cell>
          <cell r="G139">
            <v>0</v>
          </cell>
        </row>
        <row r="140">
          <cell r="A140" t="str">
            <v>Limestone, ground</v>
          </cell>
          <cell r="B140">
            <v>1.7600000000000001E-2</v>
          </cell>
          <cell r="C140" t="str">
            <v>KSU ration (Apr 2015)</v>
          </cell>
          <cell r="D140">
            <v>1.7776E-2</v>
          </cell>
          <cell r="E140" t="str">
            <v>Assumes 1% increase</v>
          </cell>
          <cell r="G140">
            <v>1.7952000000000003E-2</v>
          </cell>
        </row>
        <row r="141">
          <cell r="A141" t="str">
            <v>Magnesium phosphate</v>
          </cell>
          <cell r="B141">
            <v>0</v>
          </cell>
          <cell r="C141" t="str">
            <v>KSU ration (Apr 2015)</v>
          </cell>
          <cell r="D141">
            <v>0</v>
          </cell>
          <cell r="E141" t="str">
            <v>Assumes 1% increase</v>
          </cell>
          <cell r="G141">
            <v>0</v>
          </cell>
        </row>
        <row r="142">
          <cell r="A142" t="str">
            <v>Sodium carbonate</v>
          </cell>
          <cell r="B142">
            <v>0</v>
          </cell>
          <cell r="C142" t="str">
            <v>KSU ration (Apr 2015)</v>
          </cell>
          <cell r="D142">
            <v>0</v>
          </cell>
          <cell r="E142" t="str">
            <v>Assumes 1% increase</v>
          </cell>
          <cell r="G142">
            <v>0</v>
          </cell>
        </row>
        <row r="143">
          <cell r="A143" t="str">
            <v>Sodium bicarbonate</v>
          </cell>
          <cell r="B143">
            <v>0</v>
          </cell>
          <cell r="C143" t="str">
            <v>KSU ration (Apr 2015)</v>
          </cell>
          <cell r="D143">
            <v>0</v>
          </cell>
          <cell r="E143" t="str">
            <v>Assumes 1% increase</v>
          </cell>
          <cell r="G143">
            <v>0</v>
          </cell>
        </row>
        <row r="144">
          <cell r="A144" t="str">
            <v>Sodium chloride</v>
          </cell>
          <cell r="B144">
            <v>5.8000000000000003E-2</v>
          </cell>
          <cell r="C144" t="str">
            <v>KSU ration (Apr 2015)</v>
          </cell>
          <cell r="D144">
            <v>5.858E-2</v>
          </cell>
          <cell r="E144" t="str">
            <v>Assumes 1% increase</v>
          </cell>
          <cell r="G144">
            <v>5.9160000000000004E-2</v>
          </cell>
        </row>
        <row r="145">
          <cell r="A145" t="str">
            <v>Sodium phosphate, monobasic</v>
          </cell>
          <cell r="B145">
            <v>0</v>
          </cell>
          <cell r="C145" t="str">
            <v>KSU ration (Apr 2015)</v>
          </cell>
          <cell r="D145">
            <v>0</v>
          </cell>
          <cell r="E145" t="str">
            <v>Assumes 1% increase</v>
          </cell>
          <cell r="G145">
            <v>0</v>
          </cell>
        </row>
        <row r="146">
          <cell r="A146" t="str">
            <v>Sodium sulfate, decahydrate</v>
          </cell>
          <cell r="B146">
            <v>1.6E-2</v>
          </cell>
          <cell r="C146" t="str">
            <v>KSU ration (Apr 2015)</v>
          </cell>
          <cell r="D146">
            <v>1.6160000000000001E-2</v>
          </cell>
          <cell r="E146" t="str">
            <v>Assumes 1% increase</v>
          </cell>
          <cell r="G146">
            <v>1.6320000000000001E-2</v>
          </cell>
        </row>
        <row r="147">
          <cell r="A147" t="str">
            <v>L-Lys-HCL</v>
          </cell>
          <cell r="B147">
            <v>0.75</v>
          </cell>
          <cell r="C147" t="str">
            <v>KSU ration (Apr 2015)</v>
          </cell>
          <cell r="D147">
            <v>0.75750000000000006</v>
          </cell>
          <cell r="E147" t="str">
            <v>Assumes 1% increase</v>
          </cell>
          <cell r="G147">
            <v>0.76500000000000001</v>
          </cell>
        </row>
        <row r="148">
          <cell r="A148" t="str">
            <v>DL-Met</v>
          </cell>
          <cell r="B148">
            <v>2.2999999999999998</v>
          </cell>
          <cell r="C148" t="str">
            <v>KSU ration (Apr 2015)</v>
          </cell>
          <cell r="D148">
            <v>2.323</v>
          </cell>
          <cell r="E148" t="str">
            <v>Assumes 1% increase</v>
          </cell>
          <cell r="G148">
            <v>2.3459999999999996</v>
          </cell>
        </row>
        <row r="149">
          <cell r="A149" t="str">
            <v>L-Thr</v>
          </cell>
          <cell r="B149">
            <v>1.2</v>
          </cell>
          <cell r="C149" t="str">
            <v>KSU ration (Apr 2015)</v>
          </cell>
          <cell r="D149">
            <v>1.212</v>
          </cell>
          <cell r="E149" t="str">
            <v>Assumes 1% increase</v>
          </cell>
          <cell r="G149">
            <v>1.224</v>
          </cell>
        </row>
        <row r="150">
          <cell r="A150" t="str">
            <v>L-Trp</v>
          </cell>
          <cell r="C150" t="str">
            <v>KSU ration (Apr 2015)</v>
          </cell>
          <cell r="D150">
            <v>0</v>
          </cell>
          <cell r="E150" t="str">
            <v>Assumes 1% increase</v>
          </cell>
          <cell r="G150">
            <v>0</v>
          </cell>
        </row>
        <row r="151">
          <cell r="A151" t="str">
            <v>L-Val</v>
          </cell>
          <cell r="B151">
            <v>7</v>
          </cell>
          <cell r="C151" t="str">
            <v>KSU ration (Apr 2015)</v>
          </cell>
          <cell r="D151">
            <v>7.07</v>
          </cell>
          <cell r="E151" t="str">
            <v>Assumes 1% increase</v>
          </cell>
          <cell r="G151">
            <v>7.1400000000000006</v>
          </cell>
        </row>
        <row r="152">
          <cell r="A152" t="str">
            <v>L-Ileu</v>
          </cell>
          <cell r="B152">
            <v>7</v>
          </cell>
          <cell r="C152" t="str">
            <v>KSU ration (Apr 2015)</v>
          </cell>
          <cell r="D152">
            <v>7.07</v>
          </cell>
          <cell r="E152" t="str">
            <v>Assumes 1% increase</v>
          </cell>
          <cell r="G152">
            <v>7.1400000000000006</v>
          </cell>
        </row>
        <row r="153">
          <cell r="A153" t="str">
            <v>Methionine hydroxy analog</v>
          </cell>
          <cell r="B153">
            <v>1.2</v>
          </cell>
          <cell r="C153" t="str">
            <v>KSU ration (Apr 2015)</v>
          </cell>
          <cell r="D153">
            <v>1.212</v>
          </cell>
          <cell r="E153" t="str">
            <v>Assumes 1% increase</v>
          </cell>
          <cell r="G153">
            <v>1.224</v>
          </cell>
        </row>
        <row r="154">
          <cell r="A154" t="str">
            <v>Glutamine</v>
          </cell>
          <cell r="B154">
            <v>0</v>
          </cell>
          <cell r="C154" t="str">
            <v>KSU ration (Apr 2015)</v>
          </cell>
          <cell r="D154">
            <v>0</v>
          </cell>
          <cell r="E154" t="str">
            <v>Assumes 1% increase</v>
          </cell>
          <cell r="G154">
            <v>0</v>
          </cell>
        </row>
        <row r="155">
          <cell r="A155" t="str">
            <v>Glutamic acid</v>
          </cell>
          <cell r="B155">
            <v>0</v>
          </cell>
          <cell r="C155" t="str">
            <v>KSU ration (Apr 2015)</v>
          </cell>
          <cell r="D155">
            <v>0</v>
          </cell>
          <cell r="E155" t="str">
            <v>Assumes 1% increase</v>
          </cell>
          <cell r="G155">
            <v>0</v>
          </cell>
        </row>
        <row r="156">
          <cell r="A156" t="str">
            <v>Biolys</v>
          </cell>
          <cell r="B156">
            <v>0.7</v>
          </cell>
          <cell r="C156" t="str">
            <v>KSU ration (Apr 2015)</v>
          </cell>
          <cell r="D156">
            <v>0.70699999999999996</v>
          </cell>
          <cell r="E156" t="str">
            <v>Assumes 1% increase</v>
          </cell>
          <cell r="G156">
            <v>0.71399999999999997</v>
          </cell>
        </row>
        <row r="157">
          <cell r="A157" t="str">
            <v>Liquid lysine 60%</v>
          </cell>
          <cell r="B157">
            <v>0.6</v>
          </cell>
          <cell r="C157" t="str">
            <v>KSU ration (Apr 2015)</v>
          </cell>
          <cell r="D157">
            <v>0.60599999999999998</v>
          </cell>
          <cell r="E157" t="str">
            <v>Assumes 1% increase</v>
          </cell>
          <cell r="G157">
            <v>0.61199999999999999</v>
          </cell>
        </row>
        <row r="158">
          <cell r="A158" t="str">
            <v>MHA dry</v>
          </cell>
          <cell r="B158">
            <v>2.2000000000000002</v>
          </cell>
          <cell r="C158" t="str">
            <v>KSU ration (Apr 2015)</v>
          </cell>
          <cell r="D158">
            <v>2.2220000000000004</v>
          </cell>
          <cell r="E158" t="str">
            <v>Assumes 1% increase</v>
          </cell>
          <cell r="G158">
            <v>2.2440000000000002</v>
          </cell>
        </row>
        <row r="159">
          <cell r="A159" t="str">
            <v>Ractopamine 9 g/lb</v>
          </cell>
          <cell r="B159">
            <v>37</v>
          </cell>
          <cell r="C159" t="str">
            <v>KSU ration (Apr 2015)</v>
          </cell>
          <cell r="D159">
            <v>37.369999999999997</v>
          </cell>
          <cell r="E159" t="str">
            <v>Assumes 1% increase</v>
          </cell>
          <cell r="G159">
            <v>37.74</v>
          </cell>
        </row>
        <row r="160">
          <cell r="A160" t="str">
            <v>Phase 2 supplement (PEP2)</v>
          </cell>
          <cell r="B160">
            <v>0.45</v>
          </cell>
          <cell r="C160" t="str">
            <v>KSU ration (Apr 2015)</v>
          </cell>
          <cell r="D160">
            <v>0.45450000000000002</v>
          </cell>
          <cell r="E160" t="str">
            <v>Assumes 1% increase</v>
          </cell>
          <cell r="G160">
            <v>0.45900000000000002</v>
          </cell>
        </row>
        <row r="161">
          <cell r="A161" t="str">
            <v>2007 Starter base mix</v>
          </cell>
          <cell r="B161">
            <v>0.36</v>
          </cell>
          <cell r="C161" t="str">
            <v>KSU ration (Apr 2015)</v>
          </cell>
          <cell r="D161">
            <v>0.36359999999999998</v>
          </cell>
          <cell r="E161" t="str">
            <v>Assumes 1% increase</v>
          </cell>
          <cell r="G161">
            <v>0.36719999999999997</v>
          </cell>
        </row>
        <row r="162">
          <cell r="A162" t="str">
            <v>2007 Grow-finish base mix</v>
          </cell>
          <cell r="B162">
            <v>0.22</v>
          </cell>
          <cell r="C162" t="str">
            <v>KSU ration (Apr 2015)</v>
          </cell>
          <cell r="D162">
            <v>0.22220000000000001</v>
          </cell>
          <cell r="E162" t="str">
            <v>Assumes 1% increase</v>
          </cell>
          <cell r="G162">
            <v>0.22440000000000002</v>
          </cell>
        </row>
        <row r="163">
          <cell r="A163" t="str">
            <v>Developer base mix</v>
          </cell>
          <cell r="B163">
            <v>0.2</v>
          </cell>
          <cell r="C163" t="str">
            <v>KSU ration (Apr 2015)</v>
          </cell>
          <cell r="D163">
            <v>0.20200000000000001</v>
          </cell>
          <cell r="E163" t="str">
            <v>Assumes 1% increase</v>
          </cell>
          <cell r="G163">
            <v>0.20400000000000001</v>
          </cell>
        </row>
        <row r="164">
          <cell r="A164" t="str">
            <v>2007 Sow base mix</v>
          </cell>
          <cell r="B164">
            <v>0.22</v>
          </cell>
          <cell r="C164" t="str">
            <v>KSU ration (Apr 2015)</v>
          </cell>
          <cell r="D164">
            <v>0.22220000000000001</v>
          </cell>
          <cell r="E164" t="str">
            <v>Assumes 1% increase</v>
          </cell>
          <cell r="G164">
            <v>0.22440000000000002</v>
          </cell>
        </row>
        <row r="165">
          <cell r="A165" t="str">
            <v>Vitamin premix with phytase</v>
          </cell>
          <cell r="B165">
            <v>0.67700000000000005</v>
          </cell>
          <cell r="C165" t="str">
            <v>KSU ration (Apr 2015)</v>
          </cell>
          <cell r="D165">
            <v>0.6837700000000001</v>
          </cell>
          <cell r="E165" t="str">
            <v>Assumes 1% increase</v>
          </cell>
          <cell r="G165">
            <v>0.69054000000000004</v>
          </cell>
        </row>
        <row r="166">
          <cell r="A166" t="str">
            <v>Trace mineral premix</v>
          </cell>
          <cell r="B166">
            <v>0.41</v>
          </cell>
          <cell r="C166" t="str">
            <v>KSU ration (Apr 2015)</v>
          </cell>
          <cell r="D166">
            <v>0.41409999999999997</v>
          </cell>
          <cell r="E166" t="str">
            <v>Assumes 1% increase</v>
          </cell>
          <cell r="G166">
            <v>0.41819999999999996</v>
          </cell>
        </row>
        <row r="167">
          <cell r="A167" t="str">
            <v>Sow add pack</v>
          </cell>
          <cell r="B167">
            <v>1.7</v>
          </cell>
          <cell r="C167" t="str">
            <v>KSU ration (Apr 2015)</v>
          </cell>
          <cell r="D167">
            <v>1.7169999999999999</v>
          </cell>
          <cell r="E167" t="str">
            <v>Assumes 1% increase</v>
          </cell>
          <cell r="G167">
            <v>1.734</v>
          </cell>
        </row>
        <row r="168">
          <cell r="A168" t="str">
            <v>Vitamin premix without phytase</v>
          </cell>
          <cell r="B168">
            <v>0.9</v>
          </cell>
          <cell r="C168" t="str">
            <v>KSU ration (Apr 2015)</v>
          </cell>
          <cell r="D168">
            <v>0.90900000000000003</v>
          </cell>
          <cell r="E168" t="str">
            <v>Assumes 1% increase</v>
          </cell>
          <cell r="G168">
            <v>0.91800000000000004</v>
          </cell>
        </row>
        <row r="169">
          <cell r="A169" t="str">
            <v>GF DDGS Base Mix</v>
          </cell>
          <cell r="B169">
            <v>0.25</v>
          </cell>
          <cell r="C169" t="str">
            <v>KSU ration (Apr 2015)</v>
          </cell>
          <cell r="D169">
            <v>0.2525</v>
          </cell>
          <cell r="E169" t="str">
            <v>Assumes 1% increase</v>
          </cell>
          <cell r="G169">
            <v>0.255</v>
          </cell>
        </row>
        <row r="170">
          <cell r="A170" t="str">
            <v>GF synthetics Base Mix</v>
          </cell>
          <cell r="B170">
            <v>0.3</v>
          </cell>
          <cell r="C170" t="str">
            <v>KSU ration (Apr 2015)</v>
          </cell>
          <cell r="D170">
            <v>0.30299999999999999</v>
          </cell>
          <cell r="E170" t="str">
            <v>Assumes 1% increase</v>
          </cell>
          <cell r="G170">
            <v>0.30599999999999999</v>
          </cell>
        </row>
        <row r="171">
          <cell r="A171" t="str">
            <v>Choline chloride 60%</v>
          </cell>
          <cell r="B171">
            <v>0.6</v>
          </cell>
          <cell r="C171" t="str">
            <v>KSU ration (Apr 2015)</v>
          </cell>
          <cell r="D171">
            <v>0.60599999999999998</v>
          </cell>
          <cell r="E171" t="str">
            <v>Assumes 1% increase</v>
          </cell>
          <cell r="G171">
            <v>0.61199999999999999</v>
          </cell>
        </row>
        <row r="172">
          <cell r="A172" t="str">
            <v>Natuphos 600</v>
          </cell>
          <cell r="B172">
            <v>0</v>
          </cell>
          <cell r="C172" t="str">
            <v>KSU ration (Apr 2015)</v>
          </cell>
          <cell r="D172">
            <v>0</v>
          </cell>
          <cell r="E172" t="str">
            <v>Assumes 1% increase</v>
          </cell>
          <cell r="G172">
            <v>0</v>
          </cell>
        </row>
        <row r="173">
          <cell r="A173" t="str">
            <v>Natuphos 1200</v>
          </cell>
          <cell r="B173">
            <v>0</v>
          </cell>
          <cell r="C173" t="str">
            <v>KSU ration (Apr 2015)</v>
          </cell>
          <cell r="D173">
            <v>0</v>
          </cell>
          <cell r="E173" t="str">
            <v>Assumes 1% increase</v>
          </cell>
          <cell r="G173">
            <v>0</v>
          </cell>
        </row>
        <row r="174">
          <cell r="A174" t="str">
            <v>Optiphos 2000</v>
          </cell>
          <cell r="B174">
            <v>0</v>
          </cell>
          <cell r="C174" t="str">
            <v>KSU ration (Apr 2015)</v>
          </cell>
          <cell r="D174">
            <v>0</v>
          </cell>
          <cell r="E174" t="str">
            <v>Assumes 1% increase</v>
          </cell>
          <cell r="G174">
            <v>0</v>
          </cell>
        </row>
        <row r="175">
          <cell r="A175" t="str">
            <v>Phyzyme 1200</v>
          </cell>
          <cell r="B175">
            <v>0</v>
          </cell>
          <cell r="C175" t="str">
            <v>KSU ration (Apr 2015)</v>
          </cell>
          <cell r="D175">
            <v>0</v>
          </cell>
          <cell r="E175" t="str">
            <v>Assumes 1% increase</v>
          </cell>
          <cell r="G175">
            <v>0</v>
          </cell>
        </row>
        <row r="176">
          <cell r="A176" t="str">
            <v>Phyzyme 5000</v>
          </cell>
          <cell r="B176">
            <v>0</v>
          </cell>
          <cell r="C176" t="str">
            <v>KSU ration (Apr 2015)</v>
          </cell>
          <cell r="D176">
            <v>0</v>
          </cell>
          <cell r="E176" t="str">
            <v>Assumes 1% increase</v>
          </cell>
          <cell r="G176">
            <v>0</v>
          </cell>
        </row>
        <row r="177">
          <cell r="A177" t="str">
            <v>Ronozyme CT (10,000)</v>
          </cell>
          <cell r="B177">
            <v>0</v>
          </cell>
          <cell r="C177" t="str">
            <v>KSU ration (Apr 2015)</v>
          </cell>
          <cell r="D177">
            <v>0</v>
          </cell>
          <cell r="E177" t="str">
            <v>Assumes 1% increase</v>
          </cell>
          <cell r="G177">
            <v>0</v>
          </cell>
        </row>
        <row r="178">
          <cell r="A178" t="str">
            <v>Ronozyme M (50,000)</v>
          </cell>
          <cell r="B178">
            <v>0</v>
          </cell>
          <cell r="C178" t="str">
            <v>KSU ration (Apr 2015)</v>
          </cell>
          <cell r="D178">
            <v>0</v>
          </cell>
          <cell r="E178" t="str">
            <v>Assumes 1% increase</v>
          </cell>
          <cell r="G178">
            <v>0</v>
          </cell>
        </row>
        <row r="179">
          <cell r="A179" t="str">
            <v>Ronozyme PMX PLT (4625 FYT/g)</v>
          </cell>
          <cell r="B179">
            <v>0.83320000000000005</v>
          </cell>
          <cell r="C179" t="str">
            <v>KSU ration (Apr 2015)</v>
          </cell>
          <cell r="D179">
            <v>0.84153200000000006</v>
          </cell>
          <cell r="E179" t="str">
            <v>Assumes 1% increase</v>
          </cell>
          <cell r="G179">
            <v>0.84986400000000006</v>
          </cell>
        </row>
        <row r="180">
          <cell r="A180" t="str">
            <v>Zinc oxide</v>
          </cell>
          <cell r="B180">
            <v>1.1000000000000001</v>
          </cell>
          <cell r="C180" t="str">
            <v>KSU ration (Apr 2015)</v>
          </cell>
          <cell r="D180">
            <v>1.1110000000000002</v>
          </cell>
          <cell r="E180" t="str">
            <v>Assumes 1% increase</v>
          </cell>
          <cell r="G180">
            <v>1.1220000000000001</v>
          </cell>
        </row>
        <row r="181">
          <cell r="A181" t="str">
            <v>Copper sulfate</v>
          </cell>
          <cell r="B181">
            <v>1.1000000000000001</v>
          </cell>
          <cell r="C181" t="str">
            <v>KSU ration (Apr 2015)</v>
          </cell>
          <cell r="D181">
            <v>1.1110000000000002</v>
          </cell>
          <cell r="E181" t="str">
            <v>Assumes 1% increase</v>
          </cell>
          <cell r="G181">
            <v>1.1220000000000001</v>
          </cell>
        </row>
        <row r="182">
          <cell r="A182" t="str">
            <v>Potassium chloride</v>
          </cell>
          <cell r="B182">
            <v>0.17499999999999999</v>
          </cell>
          <cell r="C182" t="str">
            <v>KSU ration (Apr 2015)</v>
          </cell>
          <cell r="D182">
            <v>0.17674999999999999</v>
          </cell>
          <cell r="E182" t="str">
            <v>Assumes 1% increase</v>
          </cell>
          <cell r="G182">
            <v>0.17849999999999999</v>
          </cell>
        </row>
        <row r="183">
          <cell r="A183" t="str">
            <v>Calcium chloride</v>
          </cell>
          <cell r="B183">
            <v>0.2</v>
          </cell>
          <cell r="C183" t="str">
            <v>KSU ration (Apr 2015)</v>
          </cell>
          <cell r="D183">
            <v>0.20200000000000001</v>
          </cell>
          <cell r="E183" t="str">
            <v>Assumes 1% increase</v>
          </cell>
          <cell r="G183">
            <v>0.20400000000000001</v>
          </cell>
        </row>
        <row r="184">
          <cell r="A184" t="str">
            <v>Acidifier</v>
          </cell>
          <cell r="B184">
            <v>1</v>
          </cell>
          <cell r="C184" t="str">
            <v>KSU ration (Apr 2015)</v>
          </cell>
          <cell r="D184">
            <v>1.01</v>
          </cell>
          <cell r="E184" t="str">
            <v>Assumes 1% increase</v>
          </cell>
          <cell r="G184">
            <v>1.02</v>
          </cell>
        </row>
        <row r="185">
          <cell r="A185" t="str">
            <v>Vitamin E, 20,000 IU</v>
          </cell>
          <cell r="B185">
            <v>0.4</v>
          </cell>
          <cell r="C185" t="str">
            <v>KSU ration (Apr 2015)</v>
          </cell>
          <cell r="D185">
            <v>0.40400000000000003</v>
          </cell>
          <cell r="E185" t="str">
            <v>Assumes 1% increase</v>
          </cell>
          <cell r="G185">
            <v>0.40800000000000003</v>
          </cell>
        </row>
        <row r="186">
          <cell r="A186" t="str">
            <v>Phase 2 supplement D</v>
          </cell>
          <cell r="B186">
            <v>0.4</v>
          </cell>
          <cell r="C186" t="str">
            <v>KSU ration (Apr 2015)</v>
          </cell>
          <cell r="D186">
            <v>0.40400000000000003</v>
          </cell>
          <cell r="E186" t="str">
            <v>Assumes 1% increase</v>
          </cell>
          <cell r="G186">
            <v>0.40800000000000003</v>
          </cell>
        </row>
        <row r="187">
          <cell r="A187" t="str">
            <v>DPS 50</v>
          </cell>
          <cell r="B187">
            <v>0.5</v>
          </cell>
          <cell r="C187" t="str">
            <v>KSU ration (Apr 2015)</v>
          </cell>
          <cell r="D187">
            <v>0.505</v>
          </cell>
          <cell r="E187" t="str">
            <v>Assumes 1% increase</v>
          </cell>
          <cell r="G187">
            <v>0.51</v>
          </cell>
        </row>
        <row r="188">
          <cell r="A188" t="str">
            <v>PEP2+</v>
          </cell>
          <cell r="B188">
            <v>0.6</v>
          </cell>
          <cell r="C188" t="str">
            <v>KSU ration (Apr 2015)</v>
          </cell>
          <cell r="D188">
            <v>0.60599999999999998</v>
          </cell>
          <cell r="E188" t="str">
            <v>Assumes 1% increase</v>
          </cell>
          <cell r="G188">
            <v>0.61199999999999999</v>
          </cell>
        </row>
        <row r="189">
          <cell r="A189" t="str">
            <v>PEP NS</v>
          </cell>
          <cell r="B189">
            <v>0.5</v>
          </cell>
          <cell r="C189" t="str">
            <v>KSU ration (Apr 2015)</v>
          </cell>
          <cell r="D189">
            <v>0.505</v>
          </cell>
          <cell r="E189" t="str">
            <v>Assumes 1% increase</v>
          </cell>
          <cell r="G189">
            <v>0.51</v>
          </cell>
        </row>
        <row r="190">
          <cell r="A190" t="str">
            <v>Natural vitamin E 20,000 IU/lb</v>
          </cell>
          <cell r="B190">
            <v>9.4375</v>
          </cell>
          <cell r="C190" t="str">
            <v>KSU ration (Apr 2015)</v>
          </cell>
          <cell r="D190">
            <v>9.5318749999999994</v>
          </cell>
          <cell r="E190" t="str">
            <v>Assumes 1% increase</v>
          </cell>
          <cell r="G190">
            <v>9.6262500000000006</v>
          </cell>
        </row>
        <row r="191">
          <cell r="A191" t="str">
            <v>Other ingredient</v>
          </cell>
          <cell r="D191">
            <v>0</v>
          </cell>
          <cell r="G191">
            <v>0</v>
          </cell>
        </row>
        <row r="192">
          <cell r="A192" t="str">
            <v>Corn DDGS, 10.5% Oil</v>
          </cell>
          <cell r="B192">
            <v>0.125</v>
          </cell>
          <cell r="D192">
            <v>0.12625</v>
          </cell>
          <cell r="G192">
            <v>0.1275</v>
          </cell>
        </row>
        <row r="193">
          <cell r="A193" t="str">
            <v>Corn DDGS, 7.5% Oil</v>
          </cell>
          <cell r="B193">
            <v>0.11749999999999999</v>
          </cell>
          <cell r="C193" t="str">
            <v>USDA St. Joseph, MO NW_GR112 Report (http://www.ams.usda.gov/mnreports/nw_gr112.txt)</v>
          </cell>
          <cell r="D193">
            <v>0.11867499999999999</v>
          </cell>
          <cell r="G193">
            <v>0.11985</v>
          </cell>
        </row>
        <row r="194">
          <cell r="A194" t="str">
            <v>Corn DDGS, 4.5% Oil</v>
          </cell>
          <cell r="B194">
            <v>0.125</v>
          </cell>
          <cell r="D194">
            <v>0.12625</v>
          </cell>
          <cell r="G194">
            <v>0.1275</v>
          </cell>
        </row>
        <row r="195">
          <cell r="A195" t="str">
            <v>Denegard</v>
          </cell>
          <cell r="B195">
            <v>4.7286000000000001</v>
          </cell>
          <cell r="C195" t="str">
            <v>KSU ration (Apr 2015)</v>
          </cell>
          <cell r="D195">
            <v>4.7758859999999999</v>
          </cell>
          <cell r="E195" t="str">
            <v>Assumes 1% increase</v>
          </cell>
          <cell r="G195">
            <v>4.8231720000000005</v>
          </cell>
        </row>
        <row r="196">
          <cell r="A196" t="str">
            <v>CTC 50</v>
          </cell>
          <cell r="B196">
            <v>1.44</v>
          </cell>
          <cell r="C196" t="str">
            <v>KSU ration (Apr 2015)</v>
          </cell>
          <cell r="D196">
            <v>1.4543999999999999</v>
          </cell>
          <cell r="E196" t="str">
            <v>Assumes 1% increase</v>
          </cell>
          <cell r="G196">
            <v>1.4687999999999999</v>
          </cell>
        </row>
        <row r="197">
          <cell r="A197" t="str">
            <v>Bentonite</v>
          </cell>
          <cell r="B197">
            <v>0.15</v>
          </cell>
          <cell r="C197" t="str">
            <v>KSU ration (Apr 2015)</v>
          </cell>
          <cell r="D197">
            <v>0.1515</v>
          </cell>
          <cell r="E197" t="str">
            <v>Assumes 1% increase</v>
          </cell>
          <cell r="G197">
            <v>0.153</v>
          </cell>
        </row>
        <row r="198">
          <cell r="A198" t="str">
            <v>Phase 2 supplement (Feb, 2014)</v>
          </cell>
          <cell r="B198">
            <v>0.73619999999999997</v>
          </cell>
          <cell r="C198" t="str">
            <v>KSU ration (Apr 2015)</v>
          </cell>
          <cell r="D198">
            <v>0.74356199999999995</v>
          </cell>
          <cell r="E198" t="str">
            <v>Assumes 1% increase</v>
          </cell>
          <cell r="G198">
            <v>0.75092399999999992</v>
          </cell>
        </row>
        <row r="199">
          <cell r="A199" t="str">
            <v>Other ingredient</v>
          </cell>
          <cell r="B199">
            <v>0</v>
          </cell>
          <cell r="C199" t="str">
            <v>KSU ration (Apr 2015)</v>
          </cell>
          <cell r="D199">
            <v>0</v>
          </cell>
          <cell r="E199" t="str">
            <v>Assumes 1% increase</v>
          </cell>
          <cell r="G199">
            <v>0</v>
          </cell>
        </row>
        <row r="200">
          <cell r="A200" t="str">
            <v>Other ingredient</v>
          </cell>
          <cell r="B200">
            <v>0</v>
          </cell>
          <cell r="C200" t="str">
            <v>KSU ration (Apr 2015)</v>
          </cell>
          <cell r="D200">
            <v>0</v>
          </cell>
          <cell r="E200" t="str">
            <v>Assumes 1% increase</v>
          </cell>
          <cell r="G200">
            <v>0</v>
          </cell>
        </row>
        <row r="201">
          <cell r="A201" t="str">
            <v>Other ingredient</v>
          </cell>
          <cell r="B201">
            <v>0</v>
          </cell>
          <cell r="C201" t="str">
            <v>KSU ration (Apr 2015)</v>
          </cell>
          <cell r="D201">
            <v>0</v>
          </cell>
          <cell r="E201" t="str">
            <v>Assumes 1% increase</v>
          </cell>
          <cell r="G201">
            <v>0</v>
          </cell>
        </row>
        <row r="202">
          <cell r="A202" t="str">
            <v>Other ingredient</v>
          </cell>
          <cell r="B202">
            <v>0</v>
          </cell>
          <cell r="C202" t="str">
            <v>KSU ration (Apr 2015)</v>
          </cell>
          <cell r="D202">
            <v>0</v>
          </cell>
          <cell r="E202" t="str">
            <v>Assumes 1% increase</v>
          </cell>
          <cell r="G202">
            <v>0</v>
          </cell>
        </row>
        <row r="203">
          <cell r="A203" t="str">
            <v>Other ingredient</v>
          </cell>
          <cell r="B203">
            <v>0</v>
          </cell>
          <cell r="C203" t="str">
            <v>KSU ration (Apr 2015)</v>
          </cell>
          <cell r="D203">
            <v>0</v>
          </cell>
          <cell r="E203" t="str">
            <v>Assumes 1% increase</v>
          </cell>
          <cell r="G203">
            <v>0</v>
          </cell>
        </row>
        <row r="204">
          <cell r="A204" t="str">
            <v>Other ingredient</v>
          </cell>
          <cell r="B204">
            <v>0</v>
          </cell>
          <cell r="C204" t="str">
            <v>KSU ration (Apr 2015)</v>
          </cell>
          <cell r="D204">
            <v>0</v>
          </cell>
          <cell r="E204" t="str">
            <v>Assumes 1% increase</v>
          </cell>
          <cell r="G204">
            <v>0</v>
          </cell>
        </row>
        <row r="205">
          <cell r="A205" t="str">
            <v>Other ingredient</v>
          </cell>
          <cell r="B205">
            <v>0</v>
          </cell>
          <cell r="C205" t="str">
            <v>KSU ration (Apr 2015)</v>
          </cell>
          <cell r="D205">
            <v>0</v>
          </cell>
          <cell r="E205" t="str">
            <v>Assumes 1% increase</v>
          </cell>
          <cell r="G205">
            <v>0</v>
          </cell>
        </row>
        <row r="206">
          <cell r="A206" t="str">
            <v>Other ingredient</v>
          </cell>
          <cell r="B206">
            <v>0</v>
          </cell>
          <cell r="C206" t="str">
            <v>KSU ration (Apr 2015)</v>
          </cell>
          <cell r="D206">
            <v>0</v>
          </cell>
          <cell r="E206" t="str">
            <v>Assumes 1% increase</v>
          </cell>
          <cell r="G206">
            <v>0</v>
          </cell>
        </row>
        <row r="207">
          <cell r="A207" t="str">
            <v>Other ingredient</v>
          </cell>
          <cell r="B207">
            <v>0</v>
          </cell>
          <cell r="C207" t="str">
            <v>KSU ration (Apr 2015)</v>
          </cell>
          <cell r="D207">
            <v>0</v>
          </cell>
          <cell r="E207" t="str">
            <v>Assumes 1% increase</v>
          </cell>
          <cell r="G207">
            <v>0</v>
          </cell>
        </row>
        <row r="208">
          <cell r="A208" t="str">
            <v>Other ingredient</v>
          </cell>
          <cell r="B208">
            <v>0</v>
          </cell>
          <cell r="C208" t="str">
            <v>KSU ration (Apr 2015)</v>
          </cell>
          <cell r="D208">
            <v>0</v>
          </cell>
          <cell r="E208" t="str">
            <v>Assumes 1% increase</v>
          </cell>
          <cell r="G208">
            <v>0</v>
          </cell>
        </row>
        <row r="209">
          <cell r="A209" t="str">
            <v>Other ingredient</v>
          </cell>
          <cell r="B209">
            <v>0</v>
          </cell>
          <cell r="C209" t="str">
            <v>KSU ration (Apr 2015)</v>
          </cell>
          <cell r="D209">
            <v>0</v>
          </cell>
          <cell r="E209" t="str">
            <v>Assumes 1% increase</v>
          </cell>
          <cell r="G209">
            <v>0</v>
          </cell>
        </row>
        <row r="210">
          <cell r="A210" t="str">
            <v>Other ingredient</v>
          </cell>
          <cell r="B210">
            <v>0</v>
          </cell>
          <cell r="C210" t="str">
            <v>KSU ration (Apr 2015)</v>
          </cell>
          <cell r="D210">
            <v>0</v>
          </cell>
          <cell r="E210" t="str">
            <v>Assumes 1% increase</v>
          </cell>
          <cell r="G210">
            <v>0</v>
          </cell>
        </row>
        <row r="211">
          <cell r="A211">
            <v>0</v>
          </cell>
          <cell r="B211">
            <v>0</v>
          </cell>
          <cell r="C211" t="str">
            <v>KSU ration (Apr 2015)</v>
          </cell>
          <cell r="D211">
            <v>0</v>
          </cell>
          <cell r="E211" t="str">
            <v>Assumes 1% increase</v>
          </cell>
          <cell r="G211">
            <v>0</v>
          </cell>
        </row>
        <row r="212">
          <cell r="A212" t="str">
            <v>Complete nursery pellet</v>
          </cell>
          <cell r="B212">
            <v>0.35</v>
          </cell>
          <cell r="C212" t="str">
            <v>KSU ration (Apr 2015)</v>
          </cell>
          <cell r="D212">
            <v>0.35349999999999998</v>
          </cell>
          <cell r="E212" t="str">
            <v>Assumes 1% increase</v>
          </cell>
          <cell r="G212">
            <v>0.35699999999999998</v>
          </cell>
        </row>
        <row r="213">
          <cell r="A213">
            <v>0</v>
          </cell>
          <cell r="B213">
            <v>0</v>
          </cell>
          <cell r="D213">
            <v>0</v>
          </cell>
          <cell r="G213">
            <v>0</v>
          </cell>
        </row>
        <row r="214">
          <cell r="B214">
            <v>0</v>
          </cell>
          <cell r="D214">
            <v>0</v>
          </cell>
          <cell r="G214">
            <v>0</v>
          </cell>
        </row>
        <row r="215">
          <cell r="D215">
            <v>1.01</v>
          </cell>
          <cell r="G215">
            <v>1.02</v>
          </cell>
        </row>
        <row r="216">
          <cell r="A216" t="str">
            <v>Sheep Mineral ($/lb)</v>
          </cell>
          <cell r="B216">
            <v>0.55000000000000004</v>
          </cell>
          <cell r="D216">
            <v>0.56100000000000005</v>
          </cell>
          <cell r="G216">
            <v>0.60500000000000009</v>
          </cell>
        </row>
        <row r="217">
          <cell r="A217" t="str">
            <v>* This a predicted October price for the budget year</v>
          </cell>
        </row>
        <row r="218">
          <cell r="A218" t="str">
            <v>** This is a predicted price for the production year</v>
          </cell>
        </row>
        <row r="219">
          <cell r="A219" t="str">
            <v>***This is a predicted price for the production year</v>
          </cell>
        </row>
        <row r="220">
          <cell r="A220" t="str">
            <v>****This a predicted price for a Dec. sale of a fed animal</v>
          </cell>
        </row>
        <row r="223">
          <cell r="A223" t="str">
            <v>Sept. Feeder Lamb Price ($/cwt)</v>
          </cell>
          <cell r="B223">
            <v>225</v>
          </cell>
          <cell r="D223">
            <v>225</v>
          </cell>
        </row>
        <row r="224">
          <cell r="A224" t="str">
            <v>Sept. Slaughter Lamb Price ($/cwt)</v>
          </cell>
          <cell r="B224">
            <v>205</v>
          </cell>
          <cell r="D224">
            <v>205</v>
          </cell>
        </row>
        <row r="225">
          <cell r="A225" t="str">
            <v>Current Cull Ewe Price ($/cwt)</v>
          </cell>
          <cell r="B225">
            <v>105</v>
          </cell>
          <cell r="D225">
            <v>105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inreid@ksu.edu" TargetMode="External"/><Relationship Id="rId1" Type="http://schemas.openxmlformats.org/officeDocument/2006/relationships/hyperlink" Target="mailto:gtonsor@k-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sda.gov/oce/commodity/projections/" TargetMode="External"/><Relationship Id="rId1" Type="http://schemas.openxmlformats.org/officeDocument/2006/relationships/hyperlink" Target="http://www.usda.gov/oce/commodity/projection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1:X53"/>
  <sheetViews>
    <sheetView showGridLines="0" tabSelected="1" zoomScale="92" zoomScaleNormal="100" workbookViewId="0">
      <selection activeCell="B29" sqref="B29:L30"/>
    </sheetView>
  </sheetViews>
  <sheetFormatPr defaultColWidth="9.140625" defaultRowHeight="12.75" x14ac:dyDescent="0.2"/>
  <cols>
    <col min="1" max="1" width="3.5703125" style="123" customWidth="1"/>
    <col min="2" max="4" width="9.140625" style="123"/>
    <col min="5" max="5" width="9" style="123" customWidth="1"/>
    <col min="6" max="11" width="9.140625" style="123"/>
    <col min="12" max="12" width="23.28515625" style="123" customWidth="1"/>
    <col min="13" max="13" width="3.7109375" style="123" customWidth="1"/>
    <col min="14" max="16384" width="9.140625" style="123"/>
  </cols>
  <sheetData>
    <row r="1" spans="2:24" ht="10.5" customHeight="1" thickBot="1" x14ac:dyDescent="0.25"/>
    <row r="2" spans="2:24" ht="7.5" customHeight="1" x14ac:dyDescent="0.25">
      <c r="B2" s="124"/>
      <c r="C2" s="125"/>
      <c r="D2" s="125"/>
      <c r="E2" s="125"/>
      <c r="F2" s="125"/>
      <c r="G2" s="125"/>
      <c r="H2" s="125"/>
      <c r="I2" s="125"/>
      <c r="J2" s="125"/>
      <c r="K2" s="125"/>
      <c r="L2" s="126"/>
    </row>
    <row r="3" spans="2:24" ht="26.25" x14ac:dyDescent="0.4">
      <c r="B3" s="127" t="s">
        <v>119</v>
      </c>
      <c r="C3" s="128"/>
      <c r="D3" s="128"/>
      <c r="E3" s="128"/>
      <c r="F3" s="128"/>
      <c r="G3" s="128"/>
      <c r="H3" s="129"/>
      <c r="I3" s="129"/>
      <c r="J3" s="130"/>
      <c r="K3" s="130"/>
      <c r="L3" s="131"/>
    </row>
    <row r="4" spans="2:24" ht="18" customHeight="1" x14ac:dyDescent="0.3">
      <c r="B4" s="132"/>
      <c r="C4" s="133"/>
      <c r="D4" s="134"/>
      <c r="E4" s="134"/>
      <c r="F4" s="135"/>
      <c r="G4" s="135"/>
      <c r="H4" s="129"/>
      <c r="I4" s="129"/>
      <c r="J4" s="130"/>
      <c r="K4" s="130"/>
      <c r="L4" s="131"/>
    </row>
    <row r="5" spans="2:24" ht="15.75" customHeight="1" x14ac:dyDescent="0.25">
      <c r="B5" s="176" t="s">
        <v>120</v>
      </c>
      <c r="C5" s="177"/>
      <c r="D5" s="177"/>
      <c r="E5" s="177"/>
      <c r="F5" s="177"/>
      <c r="G5" s="177"/>
      <c r="H5" s="177"/>
      <c r="I5" s="177"/>
      <c r="J5" s="130"/>
      <c r="K5" s="130"/>
      <c r="L5" s="131"/>
      <c r="N5" s="179"/>
      <c r="O5" s="180"/>
      <c r="P5" s="180"/>
      <c r="Q5" s="180"/>
      <c r="R5" s="180"/>
      <c r="S5" s="180"/>
      <c r="T5" s="180"/>
      <c r="U5" s="180"/>
      <c r="V5" s="180"/>
      <c r="W5" s="180"/>
      <c r="X5" s="180"/>
    </row>
    <row r="6" spans="2:24" ht="15.75" x14ac:dyDescent="0.25">
      <c r="B6" s="178"/>
      <c r="C6" s="177"/>
      <c r="D6" s="177"/>
      <c r="E6" s="177"/>
      <c r="F6" s="177"/>
      <c r="G6" s="177"/>
      <c r="H6" s="177"/>
      <c r="I6" s="177"/>
      <c r="J6" s="130"/>
      <c r="K6" s="130"/>
      <c r="L6" s="131"/>
      <c r="N6" s="180"/>
      <c r="O6" s="180"/>
      <c r="P6" s="180"/>
      <c r="Q6" s="180"/>
      <c r="R6" s="180"/>
      <c r="S6" s="180"/>
      <c r="T6" s="180"/>
      <c r="U6" s="180"/>
      <c r="V6" s="180"/>
      <c r="W6" s="180"/>
      <c r="X6" s="180"/>
    </row>
    <row r="7" spans="2:24" ht="5.25" customHeight="1" x14ac:dyDescent="0.25">
      <c r="B7" s="136"/>
      <c r="C7" s="137"/>
      <c r="D7" s="137"/>
      <c r="E7" s="137"/>
      <c r="F7" s="137"/>
      <c r="G7" s="137"/>
      <c r="H7" s="137"/>
      <c r="I7" s="130"/>
      <c r="J7" s="130"/>
      <c r="K7" s="138"/>
      <c r="L7" s="139"/>
    </row>
    <row r="8" spans="2:24" ht="13.5" customHeight="1" thickBot="1" x14ac:dyDescent="0.3">
      <c r="B8" s="140"/>
      <c r="C8" s="181"/>
      <c r="D8" s="182"/>
      <c r="E8" s="183"/>
      <c r="F8" s="184"/>
      <c r="G8" s="141"/>
      <c r="H8" s="141"/>
      <c r="I8" s="141"/>
      <c r="J8" s="141"/>
      <c r="K8" s="142"/>
      <c r="L8" s="143" t="s">
        <v>164</v>
      </c>
      <c r="N8" s="185"/>
    </row>
    <row r="9" spans="2:24" ht="9.75" customHeight="1" x14ac:dyDescent="0.25">
      <c r="B9" s="144"/>
      <c r="C9" s="144"/>
      <c r="D9" s="144"/>
      <c r="E9" s="144"/>
      <c r="F9" s="144"/>
      <c r="G9" s="145"/>
      <c r="H9" s="144"/>
      <c r="I9" s="144"/>
      <c r="J9" s="144"/>
      <c r="K9" s="144"/>
      <c r="L9" s="144"/>
      <c r="N9" s="185"/>
    </row>
    <row r="28" spans="2:12" ht="15.75" x14ac:dyDescent="0.25">
      <c r="B28" s="146" t="s">
        <v>121</v>
      </c>
      <c r="C28" s="147"/>
      <c r="D28" s="147"/>
      <c r="E28" s="147"/>
      <c r="F28" s="148"/>
      <c r="G28" s="148"/>
      <c r="H28" s="148"/>
      <c r="I28" s="148"/>
      <c r="J28" s="148"/>
      <c r="K28" s="148"/>
      <c r="L28" s="148"/>
    </row>
    <row r="29" spans="2:12" x14ac:dyDescent="0.2">
      <c r="B29" s="186" t="s">
        <v>122</v>
      </c>
      <c r="C29" s="186"/>
      <c r="D29" s="186"/>
      <c r="E29" s="186"/>
      <c r="F29" s="186"/>
      <c r="G29" s="186"/>
      <c r="H29" s="186"/>
      <c r="I29" s="186"/>
      <c r="J29" s="186"/>
      <c r="K29" s="186"/>
      <c r="L29" s="186"/>
    </row>
    <row r="30" spans="2:12" ht="48" customHeight="1" x14ac:dyDescent="0.2">
      <c r="B30" s="186"/>
      <c r="C30" s="186"/>
      <c r="D30" s="186"/>
      <c r="E30" s="186"/>
      <c r="F30" s="186"/>
      <c r="G30" s="186"/>
      <c r="H30" s="186"/>
      <c r="I30" s="186"/>
      <c r="J30" s="186"/>
      <c r="K30" s="186"/>
      <c r="L30" s="186"/>
    </row>
    <row r="31" spans="2:12" ht="19.5" customHeight="1" x14ac:dyDescent="0.25">
      <c r="B31" s="187" t="s">
        <v>123</v>
      </c>
      <c r="C31" s="188"/>
      <c r="D31" s="188"/>
      <c r="E31" s="188"/>
      <c r="F31" s="149"/>
      <c r="G31" s="150"/>
      <c r="H31" s="149"/>
      <c r="I31" s="149"/>
      <c r="J31" s="149"/>
      <c r="K31" s="149"/>
      <c r="L31" s="149"/>
    </row>
    <row r="32" spans="2:12" ht="15.75" customHeight="1" x14ac:dyDescent="0.2">
      <c r="B32" s="189" t="s">
        <v>124</v>
      </c>
      <c r="C32" s="189"/>
      <c r="D32" s="189"/>
      <c r="E32" s="189"/>
      <c r="F32" s="189"/>
      <c r="G32" s="189"/>
      <c r="H32" s="189"/>
      <c r="I32" s="189"/>
      <c r="J32" s="189"/>
      <c r="K32" s="189"/>
      <c r="L32" s="189"/>
    </row>
    <row r="33" spans="2:12" ht="15.75" customHeight="1" x14ac:dyDescent="0.2">
      <c r="B33" s="189"/>
      <c r="C33" s="189"/>
      <c r="D33" s="189"/>
      <c r="E33" s="189"/>
      <c r="F33" s="189"/>
      <c r="G33" s="189"/>
      <c r="H33" s="189"/>
      <c r="I33" s="189"/>
      <c r="J33" s="189"/>
      <c r="K33" s="189"/>
      <c r="L33" s="189"/>
    </row>
    <row r="34" spans="2:12" ht="12.75" customHeight="1" x14ac:dyDescent="0.2">
      <c r="C34" s="151"/>
      <c r="D34" s="151"/>
      <c r="E34" s="151"/>
      <c r="F34" s="151"/>
      <c r="G34" s="151"/>
      <c r="H34" s="151"/>
      <c r="I34" s="151"/>
      <c r="J34" s="151"/>
      <c r="K34" s="151"/>
      <c r="L34" s="151"/>
    </row>
    <row r="35" spans="2:12" ht="12.75" customHeight="1" x14ac:dyDescent="0.2">
      <c r="B35" s="151"/>
      <c r="C35" s="151"/>
      <c r="D35" s="151"/>
      <c r="E35" s="151"/>
      <c r="F35" s="151"/>
      <c r="G35" s="151"/>
      <c r="H35" s="151"/>
      <c r="I35" s="151"/>
      <c r="J35" s="151"/>
      <c r="K35" s="151"/>
      <c r="L35" s="151"/>
    </row>
    <row r="36" spans="2:12" ht="15.75" hidden="1" x14ac:dyDescent="0.25">
      <c r="B36" s="152"/>
      <c r="C36" s="152"/>
      <c r="D36" s="152"/>
      <c r="E36" s="152"/>
      <c r="F36" s="152"/>
      <c r="G36" s="152"/>
      <c r="H36" s="152"/>
      <c r="I36" s="152"/>
      <c r="J36" s="152"/>
      <c r="K36" s="152"/>
      <c r="L36" s="152"/>
    </row>
    <row r="37" spans="2:12" ht="15.75" x14ac:dyDescent="0.25">
      <c r="B37" s="153" t="s">
        <v>125</v>
      </c>
      <c r="C37" s="148"/>
      <c r="D37" s="149"/>
      <c r="E37" s="149"/>
      <c r="F37" s="149"/>
      <c r="G37" s="149"/>
      <c r="H37" s="149"/>
      <c r="I37" s="149"/>
      <c r="J37" s="149"/>
      <c r="K37" s="149"/>
      <c r="L37" s="149"/>
    </row>
    <row r="38" spans="2:12" ht="18" customHeight="1" x14ac:dyDescent="0.2">
      <c r="B38" s="190" t="s">
        <v>126</v>
      </c>
      <c r="C38" s="190"/>
      <c r="D38" s="190"/>
      <c r="E38" s="190"/>
      <c r="F38" s="190"/>
      <c r="G38" s="190"/>
      <c r="H38" s="190"/>
      <c r="I38" s="190"/>
      <c r="J38" s="190"/>
      <c r="K38" s="190"/>
      <c r="L38" s="190"/>
    </row>
    <row r="39" spans="2:12" ht="12.75" customHeight="1" x14ac:dyDescent="0.2">
      <c r="B39" s="190"/>
      <c r="C39" s="190"/>
      <c r="D39" s="190"/>
      <c r="E39" s="190"/>
      <c r="F39" s="190"/>
      <c r="G39" s="190"/>
      <c r="H39" s="190"/>
      <c r="I39" s="190"/>
      <c r="J39" s="190"/>
      <c r="K39" s="190"/>
      <c r="L39" s="190"/>
    </row>
    <row r="40" spans="2:12" ht="15.75" x14ac:dyDescent="0.25">
      <c r="B40" s="148" t="s">
        <v>127</v>
      </c>
      <c r="C40" s="148"/>
      <c r="D40" s="148"/>
      <c r="E40" s="148"/>
      <c r="F40" s="154"/>
      <c r="G40" s="148" t="s">
        <v>128</v>
      </c>
      <c r="H40" s="148"/>
      <c r="I40" s="148"/>
      <c r="J40" s="148"/>
      <c r="K40" s="148"/>
    </row>
    <row r="41" spans="2:12" ht="15.75" x14ac:dyDescent="0.25">
      <c r="B41" s="148" t="s">
        <v>129</v>
      </c>
      <c r="C41" s="148"/>
      <c r="D41" s="148"/>
      <c r="E41" s="148"/>
      <c r="F41" s="154"/>
      <c r="G41" s="148" t="s">
        <v>130</v>
      </c>
      <c r="H41" s="148"/>
      <c r="I41" s="148"/>
      <c r="J41" s="148"/>
      <c r="K41" s="148"/>
    </row>
    <row r="42" spans="2:12" ht="15.75" x14ac:dyDescent="0.25">
      <c r="B42" s="148" t="s">
        <v>131</v>
      </c>
      <c r="C42" s="148"/>
      <c r="D42" s="148"/>
      <c r="E42" s="148"/>
      <c r="F42" s="148"/>
      <c r="G42" s="148" t="s">
        <v>131</v>
      </c>
      <c r="H42" s="148"/>
      <c r="I42" s="148"/>
      <c r="J42" s="148"/>
      <c r="K42" s="148"/>
    </row>
    <row r="43" spans="2:12" ht="15.75" x14ac:dyDescent="0.25">
      <c r="B43" s="148" t="s">
        <v>132</v>
      </c>
      <c r="C43" s="147"/>
      <c r="D43" s="147"/>
      <c r="E43" s="147"/>
      <c r="F43" s="148"/>
      <c r="G43" s="148" t="s">
        <v>132</v>
      </c>
      <c r="H43" s="148"/>
      <c r="I43" s="148"/>
      <c r="J43" s="148"/>
      <c r="K43" s="148"/>
    </row>
    <row r="44" spans="2:12" ht="15.75" x14ac:dyDescent="0.25">
      <c r="B44" s="155" t="s">
        <v>133</v>
      </c>
      <c r="C44" s="156"/>
      <c r="D44" s="147"/>
      <c r="E44" s="147"/>
      <c r="F44" s="148"/>
      <c r="G44" s="191" t="s">
        <v>134</v>
      </c>
      <c r="H44" s="188"/>
      <c r="I44" s="188"/>
      <c r="J44" s="148"/>
      <c r="K44" s="148"/>
    </row>
    <row r="45" spans="2:12" ht="15.75" x14ac:dyDescent="0.25">
      <c r="B45" s="157" t="s">
        <v>135</v>
      </c>
      <c r="C45" s="149"/>
      <c r="D45" s="148"/>
      <c r="E45" s="148"/>
      <c r="F45" s="148"/>
      <c r="G45" s="157" t="s">
        <v>136</v>
      </c>
      <c r="H45" s="156"/>
      <c r="I45" s="147"/>
      <c r="J45" s="148"/>
      <c r="K45" s="148"/>
    </row>
    <row r="46" spans="2:12" ht="15.75" x14ac:dyDescent="0.25">
      <c r="B46" s="157"/>
      <c r="C46" s="149"/>
      <c r="D46" s="148"/>
      <c r="E46" s="148"/>
      <c r="F46" s="148"/>
      <c r="G46" s="148"/>
      <c r="H46" s="157"/>
      <c r="I46" s="156"/>
      <c r="J46" s="147"/>
      <c r="K46" s="148"/>
      <c r="L46" s="148"/>
    </row>
    <row r="47" spans="2:12" ht="15.75" x14ac:dyDescent="0.25">
      <c r="B47" s="153" t="s">
        <v>137</v>
      </c>
      <c r="C47" s="149"/>
      <c r="D47" s="148"/>
      <c r="E47" s="148"/>
      <c r="F47" s="148"/>
      <c r="G47" s="148"/>
      <c r="H47" s="148"/>
      <c r="I47" s="148"/>
      <c r="J47" s="148"/>
      <c r="K47" s="148"/>
      <c r="L47" s="148"/>
    </row>
    <row r="48" spans="2:12" ht="19.5" customHeight="1" x14ac:dyDescent="0.2">
      <c r="B48" s="189" t="s">
        <v>140</v>
      </c>
      <c r="C48" s="189"/>
      <c r="D48" s="189"/>
      <c r="E48" s="189"/>
      <c r="F48" s="189"/>
      <c r="G48" s="189"/>
      <c r="H48" s="189"/>
      <c r="I48" s="189"/>
      <c r="J48" s="189"/>
      <c r="K48" s="189"/>
      <c r="L48" s="189"/>
    </row>
    <row r="49" spans="2:12" ht="14.25" customHeight="1" x14ac:dyDescent="0.2">
      <c r="B49" s="189"/>
      <c r="C49" s="189"/>
      <c r="D49" s="189"/>
      <c r="E49" s="189"/>
      <c r="F49" s="189"/>
      <c r="G49" s="189"/>
      <c r="H49" s="189"/>
      <c r="I49" s="189"/>
      <c r="J49" s="189"/>
      <c r="K49" s="189"/>
      <c r="L49" s="189"/>
    </row>
    <row r="50" spans="2:12" ht="14.25" customHeight="1" x14ac:dyDescent="0.2">
      <c r="B50" s="189"/>
      <c r="C50" s="189"/>
      <c r="D50" s="189"/>
      <c r="E50" s="189"/>
      <c r="F50" s="189"/>
      <c r="G50" s="189"/>
      <c r="H50" s="189"/>
      <c r="I50" s="189"/>
      <c r="J50" s="189"/>
      <c r="K50" s="189"/>
      <c r="L50" s="189"/>
    </row>
    <row r="51" spans="2:12" ht="14.25" customHeight="1" x14ac:dyDescent="0.2">
      <c r="B51" s="189"/>
      <c r="C51" s="189"/>
      <c r="D51" s="189"/>
      <c r="E51" s="189"/>
      <c r="F51" s="189"/>
      <c r="G51" s="189"/>
      <c r="H51" s="189"/>
      <c r="I51" s="189"/>
      <c r="J51" s="189"/>
      <c r="K51" s="189"/>
      <c r="L51" s="189"/>
    </row>
    <row r="52" spans="2:12" ht="16.5" customHeight="1" x14ac:dyDescent="0.25">
      <c r="B52" s="175" t="s">
        <v>165</v>
      </c>
      <c r="C52" s="175"/>
      <c r="D52" s="175"/>
      <c r="E52" s="175"/>
      <c r="F52" s="175"/>
      <c r="G52" s="175"/>
      <c r="H52" s="175"/>
      <c r="I52" s="175"/>
      <c r="J52" s="175"/>
      <c r="K52" s="175"/>
      <c r="L52" s="158"/>
    </row>
    <row r="53" spans="2:12" ht="15.75" x14ac:dyDescent="0.25">
      <c r="B53" s="158"/>
    </row>
  </sheetData>
  <sheetProtection algorithmName="SHA-512" hashValue="6OnU5nOIGNnqofJ1p02PYvsjOdkXhWzMNLfVwSP7zGkWb7m2mScBpnNigX8AdP3jMc+y2c5Il9EWFv+SBxfszw==" saltValue="e7y3GHFZ6F/fYhBkwW/Wrg==" spinCount="100000" sheet="1" objects="1" scenarios="1"/>
  <mergeCells count="12">
    <mergeCell ref="B52:K52"/>
    <mergeCell ref="B5:I6"/>
    <mergeCell ref="N5:X6"/>
    <mergeCell ref="C8:D8"/>
    <mergeCell ref="E8:F8"/>
    <mergeCell ref="N8:N9"/>
    <mergeCell ref="B29:L30"/>
    <mergeCell ref="B31:E31"/>
    <mergeCell ref="B32:L33"/>
    <mergeCell ref="B38:L39"/>
    <mergeCell ref="G44:I44"/>
    <mergeCell ref="B48:L51"/>
  </mergeCells>
  <hyperlinks>
    <hyperlink ref="G44" r:id="rId1"/>
    <hyperlink ref="B44" r:id="rId2"/>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7030A0"/>
    <pageSetUpPr fitToPage="1"/>
  </sheetPr>
  <dimension ref="A1:P29"/>
  <sheetViews>
    <sheetView zoomScale="90" zoomScaleNormal="90" workbookViewId="0">
      <selection activeCell="A34" sqref="A34"/>
    </sheetView>
  </sheetViews>
  <sheetFormatPr defaultRowHeight="15" x14ac:dyDescent="0.25"/>
  <cols>
    <col min="1" max="1" width="34.7109375" customWidth="1"/>
    <col min="2" max="2" width="24.140625" bestFit="1" customWidth="1"/>
    <col min="3" max="3" width="19.7109375" bestFit="1" customWidth="1"/>
    <col min="4" max="4" width="46.7109375" hidden="1" customWidth="1"/>
    <col min="6" max="16" width="9.140625" style="166"/>
  </cols>
  <sheetData>
    <row r="1" spans="1:16" x14ac:dyDescent="0.25">
      <c r="A1" s="2" t="s">
        <v>166</v>
      </c>
    </row>
    <row r="2" spans="1:16" x14ac:dyDescent="0.25">
      <c r="A2" s="2" t="s">
        <v>40</v>
      </c>
    </row>
    <row r="3" spans="1:16" x14ac:dyDescent="0.25">
      <c r="B3" s="25" t="str">
        <f>A1</f>
        <v>2022 Production Year</v>
      </c>
      <c r="C3" s="33" t="str">
        <f>A2</f>
        <v>Five Years Out Prices</v>
      </c>
      <c r="D3" s="34"/>
    </row>
    <row r="4" spans="1:16" x14ac:dyDescent="0.25">
      <c r="B4" s="90" t="str">
        <f>'[2]Master Prices'!$B$5</f>
        <v>(as of Dec. 21st, 2021)</v>
      </c>
      <c r="C4" s="91" t="str">
        <f>'[2]Master Prices'!$G$5</f>
        <v>(Oct. 2021 USDA)</v>
      </c>
      <c r="D4" s="34"/>
    </row>
    <row r="5" spans="1:16" x14ac:dyDescent="0.25">
      <c r="A5" t="s">
        <v>144</v>
      </c>
      <c r="B5" s="93">
        <f>VLOOKUP(A5,'[2]Master Prices'!$A$6:$G$225,2,FALSE)</f>
        <v>6.16</v>
      </c>
      <c r="C5" s="94">
        <f>VLOOKUP(A5,'[2]Master Prices'!$A$6:$G$225,7,FALSE)</f>
        <v>3.55</v>
      </c>
      <c r="D5" s="35" t="s">
        <v>14</v>
      </c>
      <c r="E5" s="22"/>
      <c r="F5" s="96"/>
    </row>
    <row r="6" spans="1:16" x14ac:dyDescent="0.25">
      <c r="A6" t="s">
        <v>145</v>
      </c>
      <c r="B6" s="93">
        <f>VLOOKUP(A6,'[2]Master Prices'!$A$6:$G$225,2,FALSE)</f>
        <v>384.9</v>
      </c>
      <c r="C6" s="94">
        <f>VLOOKUP(A6,'[2]Master Prices'!$A$6:$G$225,7,FALSE)</f>
        <v>341</v>
      </c>
      <c r="D6" s="34" t="s">
        <v>14</v>
      </c>
      <c r="E6" s="22"/>
      <c r="F6" s="96"/>
    </row>
    <row r="7" spans="1:16" x14ac:dyDescent="0.25">
      <c r="A7" t="s">
        <v>146</v>
      </c>
      <c r="B7" s="93">
        <f>VLOOKUP(A7,'[2]Master Prices'!$A$6:$G$225,2,FALSE)</f>
        <v>235</v>
      </c>
      <c r="C7" s="94">
        <f>VLOOKUP(A7,'[2]Master Prices'!$A$6:$G$225,7,FALSE)</f>
        <v>135.43019480519482</v>
      </c>
      <c r="D7" s="34" t="s">
        <v>42</v>
      </c>
      <c r="E7" s="22"/>
      <c r="F7" s="96"/>
    </row>
    <row r="8" spans="1:16" s="22" customFormat="1" x14ac:dyDescent="0.25">
      <c r="B8" s="95"/>
      <c r="C8" s="119"/>
      <c r="F8" s="96"/>
      <c r="G8" s="96"/>
      <c r="H8" s="96"/>
      <c r="I8" s="96"/>
      <c r="J8" s="96"/>
      <c r="K8" s="96"/>
      <c r="L8" s="96"/>
      <c r="M8" s="96"/>
      <c r="N8" s="96"/>
      <c r="O8" s="96"/>
      <c r="P8" s="96"/>
    </row>
    <row r="9" spans="1:16" x14ac:dyDescent="0.25">
      <c r="A9" t="s">
        <v>147</v>
      </c>
      <c r="B9" s="93">
        <f>VLOOKUP(A9,'[2]Master Prices'!$A$6:$G$225,2,FALSE)</f>
        <v>49.28</v>
      </c>
      <c r="C9" s="94">
        <f>VLOOKUP(A9,'[2]Master Prices'!$A$6:$G$225,7,FALSE)</f>
        <v>28.4</v>
      </c>
      <c r="D9" s="86" t="s">
        <v>108</v>
      </c>
      <c r="E9" s="22"/>
      <c r="F9" s="96"/>
    </row>
    <row r="10" spans="1:16" x14ac:dyDescent="0.25">
      <c r="A10" t="s">
        <v>148</v>
      </c>
      <c r="B10" s="93">
        <f>VLOOKUP(A10,'[2]Master Prices'!$A$6:$G$225,2,FALSE)</f>
        <v>125</v>
      </c>
      <c r="C10" s="94">
        <f>VLOOKUP(A10,'[2]Master Prices'!$A$6:$G$225,7,FALSE)</f>
        <v>72.037337662337663</v>
      </c>
      <c r="D10" s="34" t="s">
        <v>42</v>
      </c>
      <c r="E10" s="22"/>
      <c r="F10" s="96"/>
    </row>
    <row r="11" spans="1:16" x14ac:dyDescent="0.25">
      <c r="A11" t="s">
        <v>149</v>
      </c>
      <c r="B11" s="93">
        <f>VLOOKUP(A11,'[2]Master Prices'!$A$6:$G$225,2,FALSE)</f>
        <v>145</v>
      </c>
      <c r="C11" s="94">
        <f>VLOOKUP(A11,'[2]Master Prices'!$A$6:$G$225,7,FALSE)</f>
        <v>83.563311688311686</v>
      </c>
      <c r="D11" s="34" t="s">
        <v>42</v>
      </c>
      <c r="E11" s="22"/>
      <c r="F11" s="96"/>
    </row>
    <row r="12" spans="1:16" x14ac:dyDescent="0.25">
      <c r="A12" t="s">
        <v>150</v>
      </c>
      <c r="B12" s="93">
        <f>VLOOKUP(A12,'[2]Master Prices'!$A$6:$G$225,2,FALSE)</f>
        <v>20.5</v>
      </c>
      <c r="C12" s="94">
        <f>VLOOKUP(A12,'[2]Master Prices'!$A$6:$G$225,7,FALSE)</f>
        <v>22.55</v>
      </c>
      <c r="D12" s="34" t="s">
        <v>37</v>
      </c>
      <c r="E12" s="22"/>
      <c r="F12" s="96"/>
    </row>
    <row r="13" spans="1:16" x14ac:dyDescent="0.25">
      <c r="A13" t="s">
        <v>151</v>
      </c>
      <c r="B13" s="93">
        <f>VLOOKUP(A13,'[2]Master Prices'!$A$6:$G$225,2,FALSE)</f>
        <v>16</v>
      </c>
      <c r="C13" s="94">
        <f>VLOOKUP(A13,'[2]Master Prices'!$A$6:$G$225,7,FALSE)</f>
        <v>17.600000000000001</v>
      </c>
      <c r="D13" s="34" t="s">
        <v>37</v>
      </c>
      <c r="E13" s="22"/>
      <c r="F13" s="96"/>
    </row>
    <row r="14" spans="1:16" x14ac:dyDescent="0.25">
      <c r="A14" t="s">
        <v>152</v>
      </c>
      <c r="B14" s="93">
        <f>VLOOKUP(A14,'[2]Master Prices'!$A$6:$G$225,2,FALSE)</f>
        <v>950</v>
      </c>
      <c r="C14" s="94">
        <f>VLOOKUP(A14,'[2]Master Prices'!$A$6:$G$225,7,FALSE)</f>
        <v>1045</v>
      </c>
      <c r="D14" s="34" t="s">
        <v>37</v>
      </c>
      <c r="E14" s="22"/>
      <c r="F14" s="96"/>
    </row>
    <row r="15" spans="1:16" x14ac:dyDescent="0.25">
      <c r="A15" t="s">
        <v>153</v>
      </c>
      <c r="B15" s="93">
        <f>VLOOKUP(A15,'[2]Master Prices'!$A$6:$G$225,2,FALSE)</f>
        <v>650</v>
      </c>
      <c r="C15" s="94">
        <f>VLOOKUP(A15,'[2]Master Prices'!$A$6:$G$225,7,FALSE)</f>
        <v>715.00000000000011</v>
      </c>
      <c r="D15" s="34" t="s">
        <v>37</v>
      </c>
      <c r="E15" s="22"/>
      <c r="F15" s="96"/>
    </row>
    <row r="16" spans="1:16" s="22" customFormat="1" x14ac:dyDescent="0.25">
      <c r="B16" s="96"/>
      <c r="C16" s="96"/>
      <c r="D16" s="34"/>
      <c r="F16" s="96"/>
      <c r="G16" s="96"/>
      <c r="H16" s="96"/>
      <c r="I16" s="96"/>
      <c r="J16" s="96"/>
      <c r="K16" s="96"/>
      <c r="L16" s="96"/>
      <c r="M16" s="96"/>
      <c r="N16" s="96"/>
      <c r="O16" s="96"/>
      <c r="P16" s="96"/>
    </row>
    <row r="17" spans="1:6" x14ac:dyDescent="0.25">
      <c r="A17" t="s">
        <v>154</v>
      </c>
      <c r="B17" s="93">
        <f>VLOOKUP(A17,'[2]Master Prices'!$A$6:$G$225,2,FALSE)</f>
        <v>184.92</v>
      </c>
      <c r="C17" s="94">
        <f>VLOOKUP(A17,'[2]Master Prices'!$A$6:$G$225,7,FALSE)</f>
        <v>146.58999055337344</v>
      </c>
      <c r="D17" s="34" t="s">
        <v>39</v>
      </c>
      <c r="F17" s="96"/>
    </row>
    <row r="18" spans="1:6" x14ac:dyDescent="0.25">
      <c r="A18" t="s">
        <v>155</v>
      </c>
      <c r="B18" s="93">
        <f>VLOOKUP(A18,'[2]Master Prices'!$A$6:$G$225,2,FALSE)</f>
        <v>201.13</v>
      </c>
      <c r="C18" s="94">
        <f>VLOOKUP(A18,'[2]Master Prices'!$A$6:$G$225,7,FALSE)</f>
        <v>159.44</v>
      </c>
      <c r="D18" s="34" t="s">
        <v>14</v>
      </c>
      <c r="F18" s="96"/>
    </row>
    <row r="19" spans="1:6" x14ac:dyDescent="0.25">
      <c r="A19" t="s">
        <v>156</v>
      </c>
      <c r="B19" s="93">
        <f>VLOOKUP(A19,'[2]Master Prices'!$A$6:$G$225,2,FALSE)</f>
        <v>164.38</v>
      </c>
      <c r="C19" s="94">
        <f>VLOOKUP(A19,'[2]Master Prices'!$A$6:$G$225,7,FALSE)</f>
        <v>145</v>
      </c>
      <c r="D19" s="34" t="s">
        <v>14</v>
      </c>
      <c r="F19" s="96"/>
    </row>
    <row r="20" spans="1:6" x14ac:dyDescent="0.25">
      <c r="A20" t="s">
        <v>157</v>
      </c>
      <c r="B20" s="93">
        <f>VLOOKUP(A20,'[2]Master Prices'!$A$6:$G$225,2,FALSE)</f>
        <v>178</v>
      </c>
      <c r="C20" s="94">
        <f>VLOOKUP(A20,'[2]Master Prices'!$A$6:$G$225,7,FALSE)</f>
        <v>145</v>
      </c>
      <c r="D20" s="34"/>
      <c r="F20" s="96"/>
    </row>
    <row r="21" spans="1:6" x14ac:dyDescent="0.25">
      <c r="A21" t="s">
        <v>158</v>
      </c>
      <c r="B21" s="93">
        <f>VLOOKUP(A21,'[2]Master Prices'!$A$6:$G$225,2,FALSE)</f>
        <v>140</v>
      </c>
      <c r="C21" s="94">
        <f>VLOOKUP(A21,'[2]Master Prices'!$A$6:$G$225,7,FALSE)</f>
        <v>114.61</v>
      </c>
      <c r="D21" s="35" t="s">
        <v>14</v>
      </c>
      <c r="F21" s="96"/>
    </row>
    <row r="22" spans="1:6" x14ac:dyDescent="0.25">
      <c r="A22" t="s">
        <v>159</v>
      </c>
      <c r="B22" s="93">
        <f>VLOOKUP(A22,'[2]Master Prices'!$A$6:$G$225,2,FALSE)</f>
        <v>125</v>
      </c>
      <c r="C22" s="94">
        <f>VLOOKUP(A22,'[2]Master Prices'!$A$6:$G$225,7,FALSE)</f>
        <v>102.33035714285714</v>
      </c>
      <c r="D22" s="34" t="s">
        <v>15</v>
      </c>
      <c r="F22" s="96"/>
    </row>
    <row r="23" spans="1:6" x14ac:dyDescent="0.25">
      <c r="A23" t="s">
        <v>138</v>
      </c>
      <c r="B23" s="164">
        <f>B19</f>
        <v>164.38</v>
      </c>
      <c r="C23" s="165">
        <f>C19</f>
        <v>145</v>
      </c>
    </row>
    <row r="24" spans="1:6" x14ac:dyDescent="0.25">
      <c r="B24" s="162"/>
      <c r="C24" s="163"/>
    </row>
    <row r="25" spans="1:6" x14ac:dyDescent="0.25">
      <c r="A25" t="s">
        <v>160</v>
      </c>
      <c r="B25" s="4"/>
    </row>
    <row r="26" spans="1:6" x14ac:dyDescent="0.25">
      <c r="A26" t="s">
        <v>161</v>
      </c>
      <c r="B26" s="4"/>
    </row>
    <row r="27" spans="1:6" x14ac:dyDescent="0.25">
      <c r="A27" t="s">
        <v>162</v>
      </c>
    </row>
    <row r="28" spans="1:6" x14ac:dyDescent="0.25">
      <c r="A28" t="s">
        <v>163</v>
      </c>
    </row>
    <row r="29" spans="1:6" x14ac:dyDescent="0.25">
      <c r="A29" t="s">
        <v>139</v>
      </c>
    </row>
  </sheetData>
  <sheetProtection algorithmName="SHA-512" hashValue="BXt85QtpoC7fsriCis3LSVczAEoXXaF2WB+RbZoXKB2IcQbGQIeIWTG8YP6jnpXo82qOeIovyU+xDPlUp/JL/A==" saltValue="Lil0sz5MZdcJRcEpvfbUyA==" spinCount="100000" sheet="1" objects="1" scenarios="1"/>
  <hyperlinks>
    <hyperlink ref="D5" r:id="rId1"/>
    <hyperlink ref="D21" r:id="rId2"/>
  </hyperlinks>
  <pageMargins left="0.25" right="0.25" top="0.75" bottom="0.75" header="0.3" footer="0.3"/>
  <pageSetup orientation="portrait" horizontalDpi="4294967295" verticalDpi="4294967295"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B1:W31"/>
  <sheetViews>
    <sheetView workbookViewId="0">
      <selection activeCell="A2" sqref="A2"/>
    </sheetView>
  </sheetViews>
  <sheetFormatPr defaultRowHeight="15" x14ac:dyDescent="0.25"/>
  <cols>
    <col min="2" max="2" width="31.140625" customWidth="1"/>
    <col min="3" max="3" width="10.5703125" customWidth="1"/>
    <col min="4" max="5" width="12.28515625" customWidth="1"/>
    <col min="6" max="6" width="15.42578125" customWidth="1"/>
    <col min="8" max="8" width="30.85546875" bestFit="1" customWidth="1"/>
    <col min="12" max="12" width="17.28515625" customWidth="1"/>
    <col min="14" max="23" width="9.140625" style="166"/>
  </cols>
  <sheetData>
    <row r="1" spans="2:12" ht="28.5" x14ac:dyDescent="0.45">
      <c r="B1" s="192" t="s">
        <v>89</v>
      </c>
      <c r="C1" s="192"/>
      <c r="D1" s="192"/>
      <c r="E1" s="192"/>
      <c r="F1" s="192"/>
      <c r="G1" s="192"/>
      <c r="H1" s="192"/>
      <c r="I1" s="192"/>
      <c r="J1" s="192"/>
      <c r="K1" s="192"/>
      <c r="L1" s="192"/>
    </row>
    <row r="2" spans="2:12" ht="17.25" customHeight="1" thickBot="1" x14ac:dyDescent="0.3"/>
    <row r="3" spans="2:12" ht="15.75" thickBot="1" x14ac:dyDescent="0.3">
      <c r="B3" s="72" t="s">
        <v>61</v>
      </c>
      <c r="C3" s="73" t="s">
        <v>62</v>
      </c>
      <c r="D3" s="73"/>
      <c r="E3" s="73"/>
      <c r="F3" s="74"/>
      <c r="H3" s="72" t="s">
        <v>63</v>
      </c>
      <c r="I3" s="73" t="s">
        <v>85</v>
      </c>
      <c r="J3" s="73"/>
      <c r="K3" s="73"/>
      <c r="L3" s="74"/>
    </row>
    <row r="4" spans="2:12" x14ac:dyDescent="0.25">
      <c r="B4" s="75"/>
      <c r="C4" s="16" t="s">
        <v>17</v>
      </c>
      <c r="D4" s="16" t="s">
        <v>3</v>
      </c>
      <c r="E4" s="29"/>
      <c r="F4" s="76"/>
      <c r="H4" s="75"/>
      <c r="I4" s="16" t="s">
        <v>17</v>
      </c>
      <c r="J4" s="16" t="s">
        <v>3</v>
      </c>
      <c r="K4" s="29"/>
      <c r="L4" s="76"/>
    </row>
    <row r="5" spans="2:12" x14ac:dyDescent="0.25">
      <c r="B5" s="77" t="s">
        <v>23</v>
      </c>
      <c r="C5" s="97">
        <v>9.5</v>
      </c>
      <c r="D5" s="78" t="s">
        <v>86</v>
      </c>
      <c r="E5" s="78"/>
      <c r="F5" s="76"/>
      <c r="H5" s="77" t="s">
        <v>23</v>
      </c>
      <c r="I5" s="97">
        <v>2.5</v>
      </c>
      <c r="J5" s="78" t="s">
        <v>84</v>
      </c>
      <c r="K5" s="29"/>
      <c r="L5" s="76"/>
    </row>
    <row r="6" spans="2:12" x14ac:dyDescent="0.25">
      <c r="B6" s="77" t="s">
        <v>83</v>
      </c>
      <c r="C6" s="97">
        <v>2</v>
      </c>
      <c r="D6" s="78" t="s">
        <v>86</v>
      </c>
      <c r="E6" s="78"/>
      <c r="F6" s="76"/>
      <c r="H6" s="77" t="s">
        <v>25</v>
      </c>
      <c r="I6" s="97">
        <v>0</v>
      </c>
      <c r="J6" s="78" t="s">
        <v>84</v>
      </c>
      <c r="K6" s="29"/>
      <c r="L6" s="76"/>
    </row>
    <row r="7" spans="2:12" x14ac:dyDescent="0.25">
      <c r="B7" s="79" t="s">
        <v>109</v>
      </c>
      <c r="C7" s="98">
        <v>2.25</v>
      </c>
      <c r="D7" s="78" t="s">
        <v>87</v>
      </c>
      <c r="E7" s="78"/>
      <c r="F7" s="76"/>
      <c r="H7" s="79" t="s">
        <v>109</v>
      </c>
      <c r="I7" s="98">
        <v>0</v>
      </c>
      <c r="J7" s="78" t="s">
        <v>106</v>
      </c>
      <c r="K7" s="29"/>
      <c r="L7" s="76"/>
    </row>
    <row r="8" spans="2:12" x14ac:dyDescent="0.25">
      <c r="B8" s="79" t="s">
        <v>82</v>
      </c>
      <c r="C8" s="98">
        <v>0</v>
      </c>
      <c r="D8" s="78" t="s">
        <v>87</v>
      </c>
      <c r="E8" s="78"/>
      <c r="F8" s="76"/>
      <c r="H8" s="79" t="s">
        <v>82</v>
      </c>
      <c r="I8" s="98">
        <v>0</v>
      </c>
      <c r="J8" s="78" t="s">
        <v>106</v>
      </c>
      <c r="K8" s="29"/>
      <c r="L8" s="76"/>
    </row>
    <row r="9" spans="2:12" x14ac:dyDescent="0.25">
      <c r="B9" s="79" t="s">
        <v>55</v>
      </c>
      <c r="C9" s="98">
        <v>0</v>
      </c>
      <c r="D9" s="78" t="s">
        <v>87</v>
      </c>
      <c r="E9" s="78"/>
      <c r="F9" s="76"/>
      <c r="H9" s="79" t="s">
        <v>55</v>
      </c>
      <c r="I9" s="98">
        <v>0</v>
      </c>
      <c r="J9" s="78" t="s">
        <v>106</v>
      </c>
      <c r="K9" s="29"/>
      <c r="L9" s="76"/>
    </row>
    <row r="10" spans="2:12" x14ac:dyDescent="0.25">
      <c r="B10" s="77" t="s">
        <v>81</v>
      </c>
      <c r="C10" s="80">
        <f>SUM(C7:C9)</f>
        <v>2.25</v>
      </c>
      <c r="D10" s="78" t="s">
        <v>87</v>
      </c>
      <c r="E10" s="78"/>
      <c r="F10" s="76"/>
      <c r="H10" s="77" t="s">
        <v>81</v>
      </c>
      <c r="I10" s="80">
        <f>SUM(I7:I9)</f>
        <v>0</v>
      </c>
      <c r="J10" s="78" t="s">
        <v>106</v>
      </c>
      <c r="K10" s="29"/>
      <c r="L10" s="76"/>
    </row>
    <row r="11" spans="2:12" x14ac:dyDescent="0.25">
      <c r="B11" s="79" t="s">
        <v>58</v>
      </c>
      <c r="C11" s="97">
        <f>0.16*(3*198)</f>
        <v>95.04</v>
      </c>
      <c r="D11" s="78" t="s">
        <v>88</v>
      </c>
      <c r="E11" s="78"/>
      <c r="F11" s="76"/>
      <c r="H11" s="79" t="s">
        <v>58</v>
      </c>
      <c r="I11" s="98">
        <v>0</v>
      </c>
      <c r="J11" s="78" t="s">
        <v>105</v>
      </c>
      <c r="K11" s="29"/>
      <c r="L11" s="76"/>
    </row>
    <row r="12" spans="2:12" x14ac:dyDescent="0.25">
      <c r="B12" s="79" t="s">
        <v>59</v>
      </c>
      <c r="C12" s="97">
        <v>738</v>
      </c>
      <c r="D12" s="78" t="s">
        <v>88</v>
      </c>
      <c r="E12" s="78"/>
      <c r="F12" s="76"/>
      <c r="H12" s="79" t="s">
        <v>59</v>
      </c>
      <c r="I12" s="98">
        <v>0</v>
      </c>
      <c r="J12" s="78" t="s">
        <v>105</v>
      </c>
      <c r="K12" s="29"/>
      <c r="L12" s="76"/>
    </row>
    <row r="13" spans="2:12" x14ac:dyDescent="0.25">
      <c r="B13" s="79" t="s">
        <v>60</v>
      </c>
      <c r="C13" s="97">
        <v>0</v>
      </c>
      <c r="D13" s="78" t="s">
        <v>88</v>
      </c>
      <c r="E13" s="78"/>
      <c r="F13" s="76"/>
      <c r="H13" s="79" t="s">
        <v>60</v>
      </c>
      <c r="I13" s="98">
        <v>0</v>
      </c>
      <c r="J13" s="78" t="s">
        <v>105</v>
      </c>
      <c r="K13" s="29"/>
      <c r="L13" s="76"/>
    </row>
    <row r="14" spans="2:12" x14ac:dyDescent="0.25">
      <c r="B14" s="77" t="s">
        <v>80</v>
      </c>
      <c r="C14" s="87">
        <f>SUM(C11:C13)</f>
        <v>833.04</v>
      </c>
      <c r="D14" s="78" t="s">
        <v>88</v>
      </c>
      <c r="E14" s="78"/>
      <c r="F14" s="76"/>
      <c r="H14" s="77" t="s">
        <v>80</v>
      </c>
      <c r="I14" s="80">
        <f>SUM(I11:I13)</f>
        <v>0</v>
      </c>
      <c r="J14" s="78" t="s">
        <v>105</v>
      </c>
      <c r="K14" s="29"/>
      <c r="L14" s="76"/>
    </row>
    <row r="15" spans="2:12" ht="15.75" thickBot="1" x14ac:dyDescent="0.3">
      <c r="B15" s="81" t="s">
        <v>43</v>
      </c>
      <c r="C15" s="99">
        <v>100</v>
      </c>
      <c r="D15" s="82" t="s">
        <v>88</v>
      </c>
      <c r="E15" s="82"/>
      <c r="F15" s="83"/>
      <c r="H15" s="81" t="s">
        <v>43</v>
      </c>
      <c r="I15" s="101">
        <f>0.1*120</f>
        <v>12</v>
      </c>
      <c r="J15" s="82" t="s">
        <v>105</v>
      </c>
      <c r="K15" s="47"/>
      <c r="L15" s="83"/>
    </row>
    <row r="16" spans="2:12" x14ac:dyDescent="0.25">
      <c r="C16" s="27"/>
      <c r="D16" s="6"/>
      <c r="E16" s="6"/>
      <c r="I16" s="68"/>
      <c r="J16" s="6"/>
    </row>
    <row r="17" spans="2:12" ht="15.75" thickBot="1" x14ac:dyDescent="0.3"/>
    <row r="18" spans="2:12" ht="15.75" thickBot="1" x14ac:dyDescent="0.3">
      <c r="B18" s="72" t="s">
        <v>96</v>
      </c>
      <c r="C18" s="73" t="s">
        <v>73</v>
      </c>
      <c r="D18" s="73"/>
      <c r="E18" s="73"/>
      <c r="F18" s="74"/>
      <c r="H18" s="88" t="s">
        <v>101</v>
      </c>
      <c r="I18" s="89" t="s">
        <v>73</v>
      </c>
      <c r="J18" s="89"/>
      <c r="K18" s="89"/>
      <c r="L18" s="84"/>
    </row>
    <row r="19" spans="2:12" x14ac:dyDescent="0.25">
      <c r="B19" s="75"/>
      <c r="C19" s="16" t="s">
        <v>17</v>
      </c>
      <c r="D19" s="16" t="s">
        <v>3</v>
      </c>
      <c r="E19" s="29"/>
      <c r="F19" s="76"/>
      <c r="H19" s="75"/>
      <c r="I19" s="45" t="s">
        <v>17</v>
      </c>
      <c r="J19" s="45" t="s">
        <v>3</v>
      </c>
      <c r="K19" s="29"/>
      <c r="L19" s="76"/>
    </row>
    <row r="20" spans="2:12" x14ac:dyDescent="0.25">
      <c r="B20" s="77" t="s">
        <v>23</v>
      </c>
      <c r="C20" s="97">
        <v>0</v>
      </c>
      <c r="D20" s="78" t="s">
        <v>84</v>
      </c>
      <c r="E20" s="78"/>
      <c r="F20" s="76"/>
      <c r="H20" s="79" t="s">
        <v>109</v>
      </c>
      <c r="I20" s="98">
        <v>1.5</v>
      </c>
      <c r="J20" s="78" t="s">
        <v>57</v>
      </c>
      <c r="K20" s="78"/>
      <c r="L20" s="76"/>
    </row>
    <row r="21" spans="2:12" x14ac:dyDescent="0.25">
      <c r="B21" s="77" t="s">
        <v>25</v>
      </c>
      <c r="C21" s="97">
        <v>0</v>
      </c>
      <c r="D21" s="78" t="s">
        <v>84</v>
      </c>
      <c r="E21" s="78"/>
      <c r="F21" s="76"/>
      <c r="H21" s="79" t="s">
        <v>82</v>
      </c>
      <c r="I21" s="98">
        <v>0</v>
      </c>
      <c r="J21" s="78" t="s">
        <v>57</v>
      </c>
      <c r="K21" s="78"/>
      <c r="L21" s="76"/>
    </row>
    <row r="22" spans="2:12" x14ac:dyDescent="0.25">
      <c r="B22" s="79" t="s">
        <v>109</v>
      </c>
      <c r="C22" s="98">
        <v>3.5</v>
      </c>
      <c r="D22" s="78" t="s">
        <v>57</v>
      </c>
      <c r="E22" s="78"/>
      <c r="F22" s="76"/>
      <c r="H22" s="79" t="s">
        <v>55</v>
      </c>
      <c r="I22" s="98">
        <v>1.5</v>
      </c>
      <c r="J22" s="78" t="s">
        <v>57</v>
      </c>
      <c r="K22" s="78"/>
      <c r="L22" s="76"/>
    </row>
    <row r="23" spans="2:12" x14ac:dyDescent="0.25">
      <c r="B23" s="79" t="s">
        <v>82</v>
      </c>
      <c r="C23" s="98">
        <v>0</v>
      </c>
      <c r="D23" s="78" t="s">
        <v>57</v>
      </c>
      <c r="E23" s="78"/>
      <c r="F23" s="76"/>
      <c r="H23" s="77" t="s">
        <v>81</v>
      </c>
      <c r="I23" s="80">
        <f>SUM(I20:I22)</f>
        <v>3</v>
      </c>
      <c r="J23" s="78" t="s">
        <v>57</v>
      </c>
      <c r="K23" s="78"/>
      <c r="L23" s="76"/>
    </row>
    <row r="24" spans="2:12" x14ac:dyDescent="0.25">
      <c r="B24" s="79" t="s">
        <v>55</v>
      </c>
      <c r="C24" s="98">
        <v>3.5</v>
      </c>
      <c r="D24" s="78" t="s">
        <v>57</v>
      </c>
      <c r="E24" s="78"/>
      <c r="F24" s="76"/>
      <c r="H24" s="79" t="s">
        <v>58</v>
      </c>
      <c r="I24" s="98">
        <v>17</v>
      </c>
      <c r="J24" s="78" t="s">
        <v>57</v>
      </c>
      <c r="K24" s="78"/>
      <c r="L24" s="76"/>
    </row>
    <row r="25" spans="2:12" x14ac:dyDescent="0.25">
      <c r="B25" s="77" t="s">
        <v>81</v>
      </c>
      <c r="C25" s="80">
        <f>SUM(C22:C24)</f>
        <v>7</v>
      </c>
      <c r="D25" s="78" t="s">
        <v>57</v>
      </c>
      <c r="E25" s="78"/>
      <c r="F25" s="76"/>
      <c r="H25" s="79" t="s">
        <v>59</v>
      </c>
      <c r="I25" s="98">
        <v>5</v>
      </c>
      <c r="J25" s="78" t="s">
        <v>57</v>
      </c>
      <c r="K25" s="78"/>
      <c r="L25" s="76"/>
    </row>
    <row r="26" spans="2:12" x14ac:dyDescent="0.25">
      <c r="B26" s="79" t="s">
        <v>58</v>
      </c>
      <c r="C26" s="98">
        <v>7</v>
      </c>
      <c r="D26" s="78" t="s">
        <v>57</v>
      </c>
      <c r="E26" s="78"/>
      <c r="F26" s="76"/>
      <c r="H26" s="79" t="s">
        <v>60</v>
      </c>
      <c r="I26" s="98">
        <v>0</v>
      </c>
      <c r="J26" s="78" t="s">
        <v>57</v>
      </c>
      <c r="K26" s="78"/>
      <c r="L26" s="76"/>
    </row>
    <row r="27" spans="2:12" x14ac:dyDescent="0.25">
      <c r="B27" s="79" t="s">
        <v>59</v>
      </c>
      <c r="C27" s="98">
        <v>7</v>
      </c>
      <c r="D27" s="78" t="s">
        <v>57</v>
      </c>
      <c r="E27" s="78"/>
      <c r="F27" s="76"/>
      <c r="H27" s="77" t="s">
        <v>80</v>
      </c>
      <c r="I27" s="80">
        <f>SUM(I24:I26)</f>
        <v>22</v>
      </c>
      <c r="J27" s="78" t="s">
        <v>57</v>
      </c>
      <c r="K27" s="45"/>
      <c r="L27" s="76"/>
    </row>
    <row r="28" spans="2:12" x14ac:dyDescent="0.25">
      <c r="B28" s="79" t="s">
        <v>60</v>
      </c>
      <c r="C28" s="98">
        <v>0</v>
      </c>
      <c r="D28" s="78" t="s">
        <v>57</v>
      </c>
      <c r="E28" s="78"/>
      <c r="F28" s="76"/>
      <c r="H28" s="77" t="s">
        <v>43</v>
      </c>
      <c r="I28" s="102">
        <v>0.5</v>
      </c>
      <c r="J28" s="78" t="s">
        <v>57</v>
      </c>
      <c r="K28" s="29"/>
      <c r="L28" s="76"/>
    </row>
    <row r="29" spans="2:12" x14ac:dyDescent="0.25">
      <c r="B29" s="77" t="s">
        <v>80</v>
      </c>
      <c r="C29" s="80">
        <f>SUM(C26:C28)</f>
        <v>14</v>
      </c>
      <c r="D29" s="78" t="s">
        <v>57</v>
      </c>
      <c r="E29" s="45"/>
      <c r="F29" s="76"/>
      <c r="H29" s="77"/>
      <c r="I29" s="29"/>
      <c r="J29" s="29"/>
      <c r="K29" s="29"/>
      <c r="L29" s="76"/>
    </row>
    <row r="30" spans="2:12" ht="15.75" thickBot="1" x14ac:dyDescent="0.3">
      <c r="B30" s="81" t="s">
        <v>43</v>
      </c>
      <c r="C30" s="100">
        <v>0.3</v>
      </c>
      <c r="D30" s="82" t="s">
        <v>57</v>
      </c>
      <c r="E30" s="47"/>
      <c r="F30" s="83"/>
      <c r="H30" s="81"/>
      <c r="I30" s="47"/>
      <c r="J30" s="47"/>
      <c r="K30" s="47"/>
      <c r="L30" s="83"/>
    </row>
    <row r="31" spans="2:12" x14ac:dyDescent="0.25">
      <c r="H31" s="29"/>
      <c r="I31" s="29"/>
      <c r="J31" s="29"/>
      <c r="K31" s="29"/>
      <c r="L31" s="29"/>
    </row>
  </sheetData>
  <sheetProtection algorithmName="SHA-512" hashValue="D3K+f/9w74vybwey47AQbnermbSmgOZFzT48mYuI3z5kFF/0eDBBoDm9IOoqZ/sQ+rRi4Nvn1gLxY4A1a3VfPg==" saltValue="2XwjkBnpYlzbf4vyiZRe0w==" spinCount="100000" sheet="1" objects="1" scenarios="1"/>
  <mergeCells count="1">
    <mergeCell ref="B1:L1"/>
  </mergeCells>
  <pageMargins left="0.7" right="0.7" top="0.75" bottom="0.75" header="0.3" footer="0.3"/>
  <pageSetup scale="73"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U136"/>
  <sheetViews>
    <sheetView zoomScale="110" zoomScaleNormal="110" zoomScaleSheetLayoutView="80" workbookViewId="0">
      <selection activeCell="A2" sqref="A2"/>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s>
  <sheetData>
    <row r="1" spans="1:20" ht="22.5" customHeight="1" x14ac:dyDescent="0.25">
      <c r="A1" s="193" t="s">
        <v>41</v>
      </c>
      <c r="B1" s="194"/>
      <c r="C1" s="195" t="str">
        <f>Prices!A1</f>
        <v>2022 Production Year</v>
      </c>
      <c r="D1" s="195"/>
      <c r="E1" s="195"/>
      <c r="F1" s="195"/>
      <c r="G1" s="196" t="str">
        <f>IF(C1=Prices!B3,TEXT(Prices!B4,"MMM-YYYY"),TEXT(Prices!C4,"MMM-YYYY"))</f>
        <v>(as of Dec. 21st, 2021)</v>
      </c>
      <c r="H1" s="196"/>
      <c r="I1" s="196"/>
      <c r="J1" s="196"/>
      <c r="K1" s="69"/>
      <c r="L1" s="22"/>
      <c r="M1" s="22"/>
      <c r="N1" s="22"/>
    </row>
    <row r="2" spans="1:20" x14ac:dyDescent="0.25">
      <c r="A2" s="20"/>
      <c r="B2" s="21"/>
      <c r="D2" s="23"/>
      <c r="F2" s="22"/>
      <c r="G2" s="23"/>
      <c r="H2" s="22"/>
      <c r="I2" s="23"/>
      <c r="J2" s="22"/>
      <c r="K2" s="22"/>
      <c r="L2" s="208" t="s">
        <v>143</v>
      </c>
      <c r="M2" s="208"/>
      <c r="N2" s="208"/>
      <c r="O2" s="208"/>
      <c r="P2" s="208"/>
      <c r="Q2" s="208"/>
      <c r="R2" s="208"/>
      <c r="S2" s="208"/>
      <c r="T2" s="208"/>
    </row>
    <row r="3" spans="1:20" x14ac:dyDescent="0.25">
      <c r="A3" s="11" t="s">
        <v>1</v>
      </c>
      <c r="D3" s="12"/>
      <c r="G3" s="12"/>
      <c r="I3" s="12"/>
      <c r="K3" s="22"/>
      <c r="L3" s="96"/>
      <c r="M3" s="96"/>
      <c r="N3" s="96"/>
      <c r="O3" s="166"/>
      <c r="P3" s="166"/>
      <c r="Q3" s="166"/>
      <c r="R3" s="166"/>
      <c r="S3" s="166"/>
      <c r="T3" s="166"/>
    </row>
    <row r="4" spans="1:20" x14ac:dyDescent="0.25">
      <c r="A4" t="s">
        <v>18</v>
      </c>
      <c r="B4" s="103">
        <v>0.91</v>
      </c>
      <c r="D4" s="12"/>
      <c r="G4" s="12"/>
      <c r="I4" s="12"/>
      <c r="K4" s="22"/>
      <c r="L4" s="96"/>
      <c r="M4" s="96"/>
      <c r="N4" s="96"/>
      <c r="O4" s="166"/>
      <c r="P4" s="166"/>
      <c r="Q4" s="166"/>
      <c r="R4" s="166"/>
      <c r="S4" s="166"/>
      <c r="T4" s="166"/>
    </row>
    <row r="5" spans="1:20" x14ac:dyDescent="0.25">
      <c r="A5" t="s">
        <v>21</v>
      </c>
      <c r="B5" s="103">
        <v>0.16</v>
      </c>
      <c r="D5" s="12"/>
      <c r="G5" s="12"/>
      <c r="I5" s="12"/>
      <c r="K5" s="22"/>
      <c r="L5" s="96"/>
      <c r="M5" s="96"/>
      <c r="N5" s="96"/>
      <c r="O5" s="166"/>
      <c r="P5" s="166"/>
      <c r="Q5" s="166"/>
      <c r="R5" s="166"/>
      <c r="S5" s="166"/>
      <c r="T5" s="166"/>
    </row>
    <row r="6" spans="1:20" x14ac:dyDescent="0.25">
      <c r="B6" s="3"/>
      <c r="D6" s="12"/>
      <c r="G6" s="12"/>
      <c r="I6" s="12"/>
      <c r="K6" s="22"/>
      <c r="L6" s="96"/>
      <c r="M6" s="96"/>
      <c r="N6" s="96"/>
      <c r="O6" s="166"/>
      <c r="P6" s="166"/>
      <c r="Q6" s="166"/>
      <c r="R6" s="166"/>
      <c r="S6" s="166"/>
      <c r="T6" s="166"/>
    </row>
    <row r="7" spans="1:20" ht="30" x14ac:dyDescent="0.25">
      <c r="A7" s="16" t="s">
        <v>0</v>
      </c>
      <c r="B7" s="16" t="s">
        <v>2</v>
      </c>
      <c r="C7" s="16" t="s">
        <v>3</v>
      </c>
      <c r="D7" s="16"/>
      <c r="E7" s="16" t="s">
        <v>17</v>
      </c>
      <c r="F7" s="16" t="s">
        <v>3</v>
      </c>
      <c r="G7" s="16"/>
      <c r="H7" s="16"/>
      <c r="I7" s="16"/>
      <c r="J7" s="16" t="s">
        <v>79</v>
      </c>
      <c r="K7" s="22"/>
      <c r="L7" s="96"/>
      <c r="M7" s="96"/>
      <c r="N7" s="96"/>
      <c r="O7" s="166"/>
      <c r="P7" s="166"/>
      <c r="Q7" s="166"/>
      <c r="R7" s="166"/>
      <c r="S7" s="166"/>
      <c r="T7" s="166"/>
    </row>
    <row r="8" spans="1:20" x14ac:dyDescent="0.25">
      <c r="A8" t="s">
        <v>78</v>
      </c>
      <c r="B8" s="113">
        <f>0.5*(IF(C1=Prices!A1,Prices!B18,Prices!C18))+0.5*(IF(C1=Prices!A1,Prices!B17,Prices!C17))</f>
        <v>193.02499999999998</v>
      </c>
      <c r="C8" s="6" t="s">
        <v>44</v>
      </c>
      <c r="D8" s="12" t="s">
        <v>5</v>
      </c>
      <c r="E8" s="105">
        <v>550</v>
      </c>
      <c r="F8" s="6" t="s">
        <v>4</v>
      </c>
      <c r="G8" s="12" t="s">
        <v>5</v>
      </c>
      <c r="H8" s="5">
        <f>B4</f>
        <v>0.91</v>
      </c>
      <c r="I8" s="13" t="s">
        <v>6</v>
      </c>
      <c r="J8" s="4">
        <f>B8*(E8/100)*H8</f>
        <v>966.09012499999983</v>
      </c>
      <c r="K8" s="22"/>
      <c r="L8" s="96"/>
      <c r="M8" s="96"/>
      <c r="N8" s="96"/>
      <c r="O8" s="166"/>
      <c r="P8" s="166"/>
      <c r="Q8" s="166"/>
      <c r="R8" s="166"/>
      <c r="S8" s="166"/>
      <c r="T8" s="166"/>
    </row>
    <row r="9" spans="1:20" x14ac:dyDescent="0.25">
      <c r="A9" t="s">
        <v>20</v>
      </c>
      <c r="B9" s="113">
        <f>IF(C1=Prices!A1,Prices!B22,Prices!C22)</f>
        <v>125</v>
      </c>
      <c r="C9" s="6" t="s">
        <v>44</v>
      </c>
      <c r="D9" s="12" t="s">
        <v>5</v>
      </c>
      <c r="E9" s="105">
        <v>1250</v>
      </c>
      <c r="F9" s="6" t="s">
        <v>4</v>
      </c>
      <c r="G9" s="12" t="s">
        <v>5</v>
      </c>
      <c r="H9" s="5">
        <f>B5</f>
        <v>0.16</v>
      </c>
      <c r="I9" s="13" t="s">
        <v>6</v>
      </c>
      <c r="J9" s="4">
        <f>B9*(E9/100)*H9</f>
        <v>250</v>
      </c>
      <c r="K9" s="22"/>
      <c r="L9" s="96"/>
      <c r="M9" s="96"/>
      <c r="N9" s="96"/>
      <c r="O9" s="166"/>
      <c r="P9" s="166"/>
      <c r="Q9" s="166"/>
      <c r="R9" s="166"/>
      <c r="S9" s="166"/>
      <c r="T9" s="166"/>
    </row>
    <row r="10" spans="1:20" x14ac:dyDescent="0.25">
      <c r="A10" t="s">
        <v>115</v>
      </c>
      <c r="B10" s="1"/>
      <c r="C10" s="6"/>
      <c r="D10" s="12"/>
      <c r="E10" s="3"/>
      <c r="F10" s="6"/>
      <c r="G10" s="12"/>
      <c r="H10" s="5"/>
      <c r="I10" s="13"/>
      <c r="J10" s="1"/>
      <c r="K10" s="22"/>
      <c r="L10" s="96"/>
      <c r="M10" s="96"/>
      <c r="N10" s="96"/>
      <c r="O10" s="166"/>
      <c r="P10" s="166"/>
      <c r="Q10" s="166"/>
      <c r="R10" s="166"/>
      <c r="S10" s="166"/>
      <c r="T10" s="166"/>
    </row>
    <row r="11" spans="1:20" x14ac:dyDescent="0.25">
      <c r="A11" s="19" t="s">
        <v>7</v>
      </c>
      <c r="B11" s="14"/>
      <c r="C11" s="14"/>
      <c r="D11" s="15"/>
      <c r="E11" s="14"/>
      <c r="F11" s="14"/>
      <c r="G11" s="15"/>
      <c r="H11" s="14"/>
      <c r="I11" s="15"/>
      <c r="J11" s="17">
        <f>SUM(J8:J10)</f>
        <v>1216.0901249999997</v>
      </c>
      <c r="K11" s="22"/>
      <c r="L11" s="96"/>
      <c r="M11" s="96"/>
      <c r="N11" s="96"/>
      <c r="O11" s="166"/>
      <c r="P11" s="166"/>
      <c r="Q11" s="166"/>
      <c r="R11" s="166"/>
      <c r="S11" s="166"/>
      <c r="T11" s="166"/>
    </row>
    <row r="12" spans="1:20" x14ac:dyDescent="0.25">
      <c r="A12" s="122"/>
      <c r="D12" s="12"/>
      <c r="G12" s="12"/>
      <c r="I12" s="12"/>
      <c r="K12" s="22"/>
      <c r="L12" s="96"/>
      <c r="M12" s="96"/>
      <c r="N12" s="96"/>
      <c r="O12" s="166"/>
      <c r="P12" s="166"/>
      <c r="Q12" s="166"/>
      <c r="R12" s="166"/>
      <c r="S12" s="166"/>
      <c r="T12" s="166"/>
    </row>
    <row r="13" spans="1:20" x14ac:dyDescent="0.25">
      <c r="A13" s="16" t="s">
        <v>8</v>
      </c>
      <c r="B13" s="14"/>
      <c r="C13" s="14"/>
      <c r="D13" s="15"/>
      <c r="E13" s="14"/>
      <c r="F13" s="14"/>
      <c r="G13" s="15"/>
      <c r="H13" s="14"/>
      <c r="I13" s="15"/>
      <c r="J13" s="14"/>
      <c r="L13" s="96"/>
      <c r="M13" s="96"/>
      <c r="N13" s="96"/>
      <c r="O13" s="166"/>
      <c r="P13" s="166"/>
      <c r="Q13" s="166"/>
      <c r="R13" s="166"/>
      <c r="S13" s="166"/>
      <c r="T13" s="166"/>
    </row>
    <row r="14" spans="1:20" x14ac:dyDescent="0.25">
      <c r="A14" t="s">
        <v>23</v>
      </c>
      <c r="B14" s="114">
        <f>IF(C1=Prices!A1, Prices!B12,Prices!C12)</f>
        <v>20.5</v>
      </c>
      <c r="C14" s="6" t="s">
        <v>26</v>
      </c>
      <c r="D14" s="12" t="s">
        <v>5</v>
      </c>
      <c r="E14" s="46">
        <f>Feed!C5</f>
        <v>9.5</v>
      </c>
      <c r="F14" s="6" t="s">
        <v>74</v>
      </c>
      <c r="G14" s="12"/>
      <c r="H14" s="5"/>
      <c r="I14" s="13" t="s">
        <v>6</v>
      </c>
      <c r="J14" s="113">
        <f>B14*E14</f>
        <v>194.75</v>
      </c>
      <c r="K14" s="22"/>
      <c r="L14" s="96"/>
      <c r="M14" s="96"/>
      <c r="N14" s="96"/>
      <c r="O14" s="166"/>
      <c r="P14" s="166"/>
      <c r="Q14" s="166"/>
      <c r="R14" s="166"/>
      <c r="S14" s="166"/>
      <c r="T14" s="166"/>
    </row>
    <row r="15" spans="1:20" x14ac:dyDescent="0.25">
      <c r="A15" t="s">
        <v>25</v>
      </c>
      <c r="B15" s="114">
        <f>IF(C1=Prices!A1, Prices!B13,Prices!C13)</f>
        <v>16</v>
      </c>
      <c r="C15" s="6" t="s">
        <v>26</v>
      </c>
      <c r="D15" s="12" t="s">
        <v>5</v>
      </c>
      <c r="E15" s="46">
        <f>Feed!C6</f>
        <v>2</v>
      </c>
      <c r="F15" s="6" t="s">
        <v>74</v>
      </c>
      <c r="G15" s="12"/>
      <c r="H15" s="5"/>
      <c r="I15" s="13" t="s">
        <v>6</v>
      </c>
      <c r="J15" s="113">
        <f t="shared" ref="J15" si="0">B15*E15</f>
        <v>32</v>
      </c>
      <c r="K15" s="22"/>
      <c r="L15" s="96"/>
      <c r="M15" s="96"/>
      <c r="N15" s="167"/>
      <c r="O15" s="166"/>
      <c r="P15" s="166"/>
      <c r="Q15" s="166"/>
      <c r="R15" s="166"/>
      <c r="S15" s="166"/>
      <c r="T15" s="166"/>
    </row>
    <row r="16" spans="1:20" x14ac:dyDescent="0.25">
      <c r="A16" t="s">
        <v>24</v>
      </c>
      <c r="B16" s="114">
        <f>IF(C1=Prices!A1,(((Feed!C7/Feed!C10)*Prices!B10)+((Feed!C8/Feed!C10)*Prices!B9)+((Feed!C9/Feed!C10)*Prices!B11)),((Feed!C7/Feed!C10)*Prices!C10)+((Feed!C8/Feed!C10)*Prices!C9)+((Feed!C9/Feed!C10)*Prices!C11))</f>
        <v>125</v>
      </c>
      <c r="C16" s="6" t="s">
        <v>27</v>
      </c>
      <c r="D16" s="12" t="s">
        <v>5</v>
      </c>
      <c r="E16" s="57">
        <f>Feed!C10</f>
        <v>2.25</v>
      </c>
      <c r="F16" s="6" t="s">
        <v>75</v>
      </c>
      <c r="G16" s="12"/>
      <c r="H16" s="5"/>
      <c r="I16" s="13" t="s">
        <v>6</v>
      </c>
      <c r="J16" s="113">
        <f>B16*E16</f>
        <v>281.25</v>
      </c>
      <c r="K16" s="22"/>
      <c r="L16" s="167"/>
      <c r="M16" s="167"/>
      <c r="N16" s="167"/>
      <c r="O16" s="166"/>
      <c r="P16" s="166"/>
      <c r="Q16" s="166"/>
      <c r="R16" s="166"/>
      <c r="S16" s="166"/>
      <c r="T16" s="166"/>
    </row>
    <row r="17" spans="1:21" x14ac:dyDescent="0.25">
      <c r="A17" s="26" t="s">
        <v>29</v>
      </c>
      <c r="B17" s="114">
        <f>IF(C1=Prices!A1,(((Feed!C13/Feed!C14)*Prices!B6)+((Feed!C12/Feed!C14)*Prices!B7)+((Feed!C11/Feed!C14)*(Prices!B5*2000)/56)),(((Feed!C13/Feed!C14)*Prices!C6)+((Feed!C12/Feed!C14)*Prices!C7)+((Feed!C11/Feed!C14)*(Prices!C5*2000)/56)))</f>
        <v>233.28867761452034</v>
      </c>
      <c r="C17" s="6" t="s">
        <v>27</v>
      </c>
      <c r="D17" s="12" t="s">
        <v>5</v>
      </c>
      <c r="E17" s="46">
        <f>Feed!C14</f>
        <v>833.04</v>
      </c>
      <c r="F17" s="6" t="s">
        <v>76</v>
      </c>
      <c r="G17" s="12"/>
      <c r="H17" s="5"/>
      <c r="I17" s="13" t="s">
        <v>6</v>
      </c>
      <c r="J17" s="113">
        <f>(B17/2000)*E17</f>
        <v>97.16940000000001</v>
      </c>
      <c r="K17" s="22"/>
      <c r="L17" s="167"/>
      <c r="M17" s="167"/>
      <c r="N17" s="167"/>
      <c r="O17" s="168"/>
      <c r="P17" s="166"/>
      <c r="Q17" s="166"/>
      <c r="R17" s="166"/>
      <c r="S17" s="166"/>
      <c r="T17" s="166"/>
    </row>
    <row r="18" spans="1:21" x14ac:dyDescent="0.25">
      <c r="A18" t="s">
        <v>28</v>
      </c>
      <c r="B18" s="114">
        <f>IF(C1=Prices!A1,Prices!B14,Prices!C14)</f>
        <v>950</v>
      </c>
      <c r="C18" s="6" t="s">
        <v>27</v>
      </c>
      <c r="D18" s="12" t="s">
        <v>5</v>
      </c>
      <c r="E18" s="46">
        <f>Feed!C15</f>
        <v>100</v>
      </c>
      <c r="F18" s="6" t="s">
        <v>76</v>
      </c>
      <c r="G18" s="12"/>
      <c r="H18" s="5"/>
      <c r="I18" s="13" t="s">
        <v>6</v>
      </c>
      <c r="J18" s="113">
        <f>(B18/2000)*E18</f>
        <v>47.5</v>
      </c>
      <c r="K18" s="85"/>
      <c r="L18" s="96"/>
      <c r="M18" s="96"/>
      <c r="N18" s="96"/>
      <c r="O18" s="166"/>
      <c r="P18" s="166"/>
      <c r="Q18" s="166"/>
      <c r="R18" s="166"/>
      <c r="S18" s="166"/>
      <c r="T18" s="166"/>
      <c r="U18" s="4"/>
    </row>
    <row r="19" spans="1:21" x14ac:dyDescent="0.25">
      <c r="A19" t="s">
        <v>116</v>
      </c>
      <c r="B19" s="104">
        <v>0</v>
      </c>
      <c r="C19" s="6" t="s">
        <v>117</v>
      </c>
      <c r="D19" s="112" t="s">
        <v>49</v>
      </c>
      <c r="E19" s="106">
        <v>0</v>
      </c>
      <c r="F19" s="6" t="s">
        <v>118</v>
      </c>
      <c r="G19" s="112"/>
      <c r="H19" s="5"/>
      <c r="I19" s="13" t="s">
        <v>50</v>
      </c>
      <c r="J19" s="104">
        <f>B19*E19</f>
        <v>0</v>
      </c>
      <c r="K19" s="85"/>
      <c r="L19" s="96"/>
      <c r="M19" s="96"/>
      <c r="N19" s="96"/>
      <c r="O19" s="166"/>
      <c r="P19" s="166"/>
      <c r="Q19" s="166"/>
      <c r="R19" s="166"/>
      <c r="S19" s="166"/>
      <c r="T19" s="166"/>
      <c r="U19" s="4"/>
    </row>
    <row r="20" spans="1:21" x14ac:dyDescent="0.25">
      <c r="A20" t="s">
        <v>30</v>
      </c>
      <c r="B20" s="104">
        <v>20</v>
      </c>
      <c r="C20" s="6" t="s">
        <v>64</v>
      </c>
      <c r="D20" s="12" t="s">
        <v>49</v>
      </c>
      <c r="E20" s="106">
        <v>8</v>
      </c>
      <c r="F20" s="6" t="s">
        <v>90</v>
      </c>
      <c r="G20" s="12"/>
      <c r="H20" s="5"/>
      <c r="I20" s="13" t="s">
        <v>6</v>
      </c>
      <c r="J20" s="104">
        <f>B20*E20</f>
        <v>160</v>
      </c>
      <c r="L20" s="96"/>
      <c r="M20" s="96"/>
      <c r="N20" s="96"/>
      <c r="O20" s="166"/>
      <c r="P20" s="166"/>
      <c r="Q20" s="166"/>
      <c r="R20" s="166"/>
      <c r="S20" s="166"/>
      <c r="T20" s="166"/>
    </row>
    <row r="21" spans="1:21" x14ac:dyDescent="0.25">
      <c r="A21" t="s">
        <v>31</v>
      </c>
      <c r="B21" s="1"/>
      <c r="C21" s="6"/>
      <c r="D21" s="12"/>
      <c r="E21" s="3"/>
      <c r="F21" s="6"/>
      <c r="G21" s="12"/>
      <c r="H21" s="5"/>
      <c r="I21" s="13"/>
      <c r="J21" s="104">
        <v>35</v>
      </c>
      <c r="K21" s="22"/>
      <c r="L21" s="96"/>
      <c r="M21" s="96"/>
      <c r="N21" s="96"/>
      <c r="O21" s="166"/>
      <c r="P21" s="166"/>
      <c r="Q21" s="166"/>
      <c r="R21" s="166"/>
      <c r="S21" s="166"/>
      <c r="T21" s="166"/>
    </row>
    <row r="22" spans="1:21" x14ac:dyDescent="0.25">
      <c r="A22" s="26" t="s">
        <v>38</v>
      </c>
      <c r="B22" s="104">
        <f>((IF(C1=Prices!A1, Prices!B17,Prices!C17))/100)*E8</f>
        <v>1017.06</v>
      </c>
      <c r="C22" s="6" t="s">
        <v>36</v>
      </c>
      <c r="D22" s="12" t="s">
        <v>5</v>
      </c>
      <c r="E22" s="5">
        <f>B5</f>
        <v>0.16</v>
      </c>
      <c r="F22" s="7" t="s">
        <v>16</v>
      </c>
      <c r="G22" s="12"/>
      <c r="I22" s="13" t="s">
        <v>6</v>
      </c>
      <c r="J22" s="10">
        <f>B22*E22</f>
        <v>162.7296</v>
      </c>
      <c r="K22" s="22"/>
      <c r="L22" s="96"/>
      <c r="M22" s="96"/>
      <c r="N22" s="96"/>
      <c r="O22" s="166"/>
      <c r="P22" s="166"/>
      <c r="Q22" s="166"/>
      <c r="R22" s="166"/>
      <c r="S22" s="166"/>
      <c r="T22" s="166"/>
    </row>
    <row r="23" spans="1:21" x14ac:dyDescent="0.25">
      <c r="A23" s="26" t="s">
        <v>103</v>
      </c>
      <c r="B23" s="1"/>
      <c r="C23" s="6"/>
      <c r="D23" s="66"/>
      <c r="E23" s="5"/>
      <c r="F23" s="7"/>
      <c r="G23" s="66"/>
      <c r="I23" s="13"/>
      <c r="J23" s="104">
        <f>((6000-1700)/4)*0.04</f>
        <v>43</v>
      </c>
      <c r="K23" s="22"/>
      <c r="L23" s="96"/>
      <c r="M23" s="96"/>
      <c r="N23" s="96"/>
      <c r="O23" s="166"/>
      <c r="P23" s="166"/>
      <c r="Q23" s="166"/>
      <c r="R23" s="166"/>
      <c r="S23" s="166"/>
      <c r="T23" s="166"/>
    </row>
    <row r="24" spans="1:21" x14ac:dyDescent="0.25">
      <c r="A24" t="s">
        <v>104</v>
      </c>
      <c r="B24" s="1"/>
      <c r="C24" s="6"/>
      <c r="D24" s="12"/>
      <c r="E24" s="3"/>
      <c r="F24" s="6"/>
      <c r="G24" s="12"/>
      <c r="H24" s="5"/>
      <c r="I24" s="13"/>
      <c r="J24" s="104">
        <v>22</v>
      </c>
      <c r="K24" s="22"/>
      <c r="L24" s="96"/>
      <c r="M24" s="96"/>
      <c r="N24" s="96"/>
      <c r="O24" s="166"/>
      <c r="P24" s="166"/>
      <c r="Q24" s="166"/>
      <c r="R24" s="166"/>
      <c r="S24" s="166"/>
      <c r="T24" s="166"/>
    </row>
    <row r="25" spans="1:21" x14ac:dyDescent="0.25">
      <c r="A25" t="s">
        <v>142</v>
      </c>
      <c r="B25" s="1"/>
      <c r="C25" s="6"/>
      <c r="D25" s="172"/>
      <c r="E25" s="3"/>
      <c r="F25" s="6"/>
      <c r="G25" s="172"/>
      <c r="H25" s="5"/>
      <c r="I25" s="13"/>
      <c r="J25" s="104">
        <v>14</v>
      </c>
      <c r="K25" s="22"/>
      <c r="L25" s="96"/>
      <c r="M25" s="96"/>
      <c r="N25" s="96"/>
      <c r="O25" s="166"/>
      <c r="P25" s="166"/>
      <c r="Q25" s="166"/>
      <c r="R25" s="166"/>
      <c r="S25" s="166"/>
      <c r="T25" s="166"/>
    </row>
    <row r="26" spans="1:21" x14ac:dyDescent="0.25">
      <c r="A26" t="s">
        <v>141</v>
      </c>
      <c r="B26" s="1"/>
      <c r="C26" s="6"/>
      <c r="D26" s="12"/>
      <c r="E26" s="3"/>
      <c r="F26" s="6"/>
      <c r="G26" s="12"/>
      <c r="H26" s="5"/>
      <c r="I26" s="13"/>
      <c r="J26" s="104">
        <v>24</v>
      </c>
      <c r="K26" s="22"/>
      <c r="L26" s="96"/>
      <c r="M26" s="96"/>
      <c r="N26" s="96"/>
      <c r="O26" s="166"/>
      <c r="P26" s="166"/>
      <c r="Q26" s="166"/>
      <c r="R26" s="166"/>
      <c r="S26" s="166"/>
      <c r="T26" s="166"/>
    </row>
    <row r="27" spans="1:21" x14ac:dyDescent="0.25">
      <c r="A27" t="s">
        <v>66</v>
      </c>
      <c r="B27" s="1"/>
      <c r="C27" s="6"/>
      <c r="D27" s="12"/>
      <c r="E27" s="3"/>
      <c r="F27" s="6"/>
      <c r="G27" s="12"/>
      <c r="H27" s="5"/>
      <c r="I27" s="13"/>
      <c r="J27" s="104">
        <v>50</v>
      </c>
      <c r="K27" s="22"/>
      <c r="L27" s="96"/>
      <c r="M27" s="96"/>
      <c r="N27" s="96"/>
      <c r="O27" s="166"/>
      <c r="P27" s="166"/>
      <c r="Q27" s="166"/>
      <c r="R27" s="166"/>
      <c r="S27" s="166"/>
      <c r="T27" s="166"/>
    </row>
    <row r="28" spans="1:21" x14ac:dyDescent="0.25">
      <c r="A28" t="s">
        <v>114</v>
      </c>
      <c r="B28" s="1"/>
      <c r="C28" s="6"/>
      <c r="D28" s="92"/>
      <c r="E28" s="3"/>
      <c r="F28" s="6"/>
      <c r="G28" s="92"/>
      <c r="H28" s="5"/>
      <c r="I28" s="13"/>
      <c r="J28" s="104">
        <v>28</v>
      </c>
      <c r="K28" s="22"/>
      <c r="L28" s="96"/>
      <c r="M28" s="96"/>
      <c r="N28" s="96"/>
      <c r="O28" s="166"/>
      <c r="P28" s="166"/>
      <c r="Q28" s="166"/>
      <c r="R28" s="166"/>
      <c r="S28" s="166"/>
      <c r="T28" s="166"/>
    </row>
    <row r="29" spans="1:21" x14ac:dyDescent="0.25">
      <c r="A29" s="14" t="s">
        <v>33</v>
      </c>
      <c r="B29" s="14"/>
      <c r="C29" s="37"/>
      <c r="D29" s="15"/>
      <c r="E29" s="38"/>
      <c r="F29" s="37"/>
      <c r="G29" s="15"/>
      <c r="H29" s="39"/>
      <c r="I29" s="40"/>
      <c r="J29" s="107">
        <v>8</v>
      </c>
      <c r="K29" s="22"/>
      <c r="L29" s="96"/>
      <c r="M29" s="96"/>
      <c r="N29" s="96"/>
      <c r="O29" s="166"/>
      <c r="P29" s="166"/>
      <c r="Q29" s="166"/>
      <c r="R29" s="166"/>
      <c r="S29" s="166"/>
      <c r="T29" s="166"/>
    </row>
    <row r="30" spans="1:21" x14ac:dyDescent="0.25">
      <c r="A30" s="8" t="s">
        <v>12</v>
      </c>
      <c r="D30" s="12"/>
      <c r="G30" s="12"/>
      <c r="I30" s="12"/>
      <c r="J30" s="9">
        <f>SUM(J14:J29)</f>
        <v>1199.3989999999999</v>
      </c>
      <c r="K30" s="22"/>
      <c r="L30" s="96"/>
      <c r="M30" s="96"/>
      <c r="N30" s="96"/>
      <c r="O30" s="166"/>
      <c r="P30" s="166"/>
      <c r="Q30" s="166"/>
      <c r="R30" s="166"/>
      <c r="S30" s="166"/>
      <c r="T30" s="166"/>
    </row>
    <row r="31" spans="1:21" x14ac:dyDescent="0.25">
      <c r="D31" s="12"/>
      <c r="G31" s="12"/>
      <c r="I31" s="12"/>
      <c r="K31" s="22"/>
      <c r="L31" s="96"/>
      <c r="M31" s="96"/>
      <c r="N31" s="96"/>
      <c r="O31" s="166"/>
      <c r="P31" s="166"/>
      <c r="Q31" s="166"/>
      <c r="R31" s="166"/>
      <c r="S31" s="166"/>
      <c r="T31" s="166"/>
    </row>
    <row r="32" spans="1:21" x14ac:dyDescent="0.25">
      <c r="A32" s="16" t="s">
        <v>9</v>
      </c>
      <c r="B32" s="14"/>
      <c r="C32" s="14"/>
      <c r="D32" s="15"/>
      <c r="E32" s="14"/>
      <c r="F32" s="14"/>
      <c r="G32" s="15"/>
      <c r="H32" s="14"/>
      <c r="I32" s="15"/>
      <c r="J32" s="14"/>
      <c r="K32" s="22"/>
      <c r="L32" s="96"/>
      <c r="M32" s="96"/>
      <c r="N32" s="96"/>
      <c r="O32" s="166"/>
      <c r="P32" s="166"/>
      <c r="Q32" s="166"/>
      <c r="R32" s="166"/>
      <c r="S32" s="166"/>
      <c r="T32" s="166"/>
    </row>
    <row r="33" spans="1:20" x14ac:dyDescent="0.25">
      <c r="A33" t="s">
        <v>34</v>
      </c>
      <c r="D33" s="12"/>
      <c r="G33" s="12"/>
      <c r="I33" s="12"/>
      <c r="J33" s="104">
        <v>50</v>
      </c>
      <c r="K33" s="22"/>
      <c r="L33" s="96"/>
      <c r="M33" s="96"/>
      <c r="N33" s="96"/>
      <c r="O33" s="166"/>
      <c r="P33" s="166"/>
      <c r="Q33" s="166"/>
      <c r="R33" s="166"/>
      <c r="S33" s="166"/>
      <c r="T33" s="166"/>
    </row>
    <row r="34" spans="1:20" x14ac:dyDescent="0.25">
      <c r="A34" t="s">
        <v>70</v>
      </c>
      <c r="D34" s="12"/>
      <c r="G34" s="12"/>
      <c r="I34" s="12"/>
      <c r="J34" s="104">
        <v>12</v>
      </c>
      <c r="K34" s="22"/>
      <c r="L34" s="96"/>
      <c r="M34" s="96"/>
      <c r="N34" s="96"/>
      <c r="O34" s="166"/>
      <c r="P34" s="166"/>
      <c r="Q34" s="166"/>
      <c r="R34" s="166"/>
      <c r="S34" s="166"/>
      <c r="T34" s="166"/>
    </row>
    <row r="35" spans="1:20" x14ac:dyDescent="0.25">
      <c r="A35" t="s">
        <v>68</v>
      </c>
      <c r="D35" s="41"/>
      <c r="G35" s="41"/>
      <c r="I35" s="41"/>
      <c r="J35" s="104">
        <v>14</v>
      </c>
      <c r="K35" s="50"/>
      <c r="L35" s="96"/>
      <c r="M35" s="96"/>
      <c r="N35" s="96"/>
      <c r="O35" s="166"/>
      <c r="P35" s="166"/>
      <c r="Q35" s="166"/>
      <c r="R35" s="166"/>
      <c r="S35" s="166"/>
      <c r="T35" s="166"/>
    </row>
    <row r="36" spans="1:20" x14ac:dyDescent="0.25">
      <c r="A36" s="29" t="s">
        <v>67</v>
      </c>
      <c r="B36" s="29"/>
      <c r="C36" s="29"/>
      <c r="D36" s="30"/>
      <c r="E36" s="29"/>
      <c r="F36" s="29"/>
      <c r="G36" s="30"/>
      <c r="H36" s="29"/>
      <c r="I36" s="30"/>
      <c r="J36" s="108">
        <v>135</v>
      </c>
      <c r="K36" s="50"/>
      <c r="L36" s="96"/>
      <c r="M36" s="96"/>
      <c r="N36" s="96"/>
      <c r="O36" s="166"/>
      <c r="P36" s="166"/>
      <c r="Q36" s="166"/>
      <c r="R36" s="166"/>
      <c r="S36" s="166"/>
      <c r="T36" s="166"/>
    </row>
    <row r="37" spans="1:20" x14ac:dyDescent="0.25">
      <c r="A37" s="51" t="s">
        <v>77</v>
      </c>
      <c r="B37" s="14"/>
      <c r="C37" s="14"/>
      <c r="D37" s="15"/>
      <c r="E37" s="14"/>
      <c r="F37" s="14"/>
      <c r="G37" s="15"/>
      <c r="H37" s="14"/>
      <c r="I37" s="15"/>
      <c r="J37" s="107">
        <v>0</v>
      </c>
      <c r="K37" s="22"/>
      <c r="L37" s="96"/>
      <c r="M37" s="96"/>
      <c r="N37" s="96"/>
      <c r="O37" s="166"/>
      <c r="P37" s="166"/>
      <c r="Q37" s="166"/>
      <c r="R37" s="166"/>
      <c r="S37" s="166"/>
      <c r="T37" s="166"/>
    </row>
    <row r="38" spans="1:20" x14ac:dyDescent="0.25">
      <c r="A38" s="8" t="s">
        <v>10</v>
      </c>
      <c r="D38" s="12"/>
      <c r="G38" s="12"/>
      <c r="I38" s="12"/>
      <c r="J38" s="9">
        <f>SUM(J33:J36)</f>
        <v>211</v>
      </c>
      <c r="K38" s="22"/>
      <c r="L38" s="96"/>
      <c r="M38" s="96"/>
      <c r="N38" s="96"/>
      <c r="O38" s="166"/>
      <c r="P38" s="166"/>
      <c r="Q38" s="166"/>
      <c r="R38" s="166"/>
      <c r="S38" s="166"/>
      <c r="T38" s="166"/>
    </row>
    <row r="39" spans="1:20" ht="15" customHeight="1" x14ac:dyDescent="0.25">
      <c r="D39" s="12"/>
      <c r="G39" s="12"/>
      <c r="I39" s="12"/>
      <c r="K39" s="22"/>
      <c r="L39" s="96"/>
      <c r="M39" s="96"/>
      <c r="N39" s="96"/>
      <c r="O39" s="166"/>
      <c r="P39" s="166"/>
      <c r="Q39" s="166"/>
      <c r="R39" s="166"/>
      <c r="S39" s="166"/>
      <c r="T39" s="166"/>
    </row>
    <row r="40" spans="1:20" x14ac:dyDescent="0.25">
      <c r="A40" s="16" t="s">
        <v>11</v>
      </c>
      <c r="B40" s="14"/>
      <c r="C40" s="14"/>
      <c r="D40" s="15"/>
      <c r="E40" s="14"/>
      <c r="F40" s="14"/>
      <c r="G40" s="15"/>
      <c r="H40" s="14"/>
      <c r="I40" s="15"/>
      <c r="J40" s="17">
        <f>J30+J38</f>
        <v>1410.3989999999999</v>
      </c>
      <c r="K40" s="22"/>
      <c r="L40" s="96"/>
      <c r="M40" s="96"/>
      <c r="N40" s="96"/>
      <c r="O40" s="166"/>
      <c r="P40" s="166"/>
      <c r="Q40" s="166"/>
      <c r="R40" s="166"/>
      <c r="S40" s="166"/>
      <c r="T40" s="166"/>
    </row>
    <row r="41" spans="1:20" x14ac:dyDescent="0.25">
      <c r="A41" s="28"/>
      <c r="B41" s="29"/>
      <c r="C41" s="29"/>
      <c r="D41" s="30"/>
      <c r="E41" s="29"/>
      <c r="F41" s="29"/>
      <c r="G41" s="30"/>
      <c r="H41" s="29"/>
      <c r="I41" s="30"/>
      <c r="J41" s="18"/>
      <c r="L41" s="166"/>
      <c r="M41" s="166"/>
      <c r="N41" s="166"/>
      <c r="O41" s="166"/>
      <c r="P41" s="166"/>
      <c r="Q41" s="166"/>
      <c r="R41" s="166"/>
      <c r="S41" s="166"/>
      <c r="T41" s="166"/>
    </row>
    <row r="42" spans="1:20" x14ac:dyDescent="0.25">
      <c r="A42" t="s">
        <v>35</v>
      </c>
      <c r="D42" s="12"/>
      <c r="G42" s="12"/>
      <c r="I42" s="12"/>
      <c r="J42" s="4">
        <f>J11-J30</f>
        <v>16.691124999999829</v>
      </c>
      <c r="L42" s="166"/>
      <c r="M42" s="166"/>
      <c r="N42" s="166"/>
      <c r="O42" s="166"/>
      <c r="P42" s="166"/>
      <c r="Q42" s="169"/>
      <c r="R42" s="166"/>
      <c r="S42" s="166"/>
      <c r="T42" s="166"/>
    </row>
    <row r="43" spans="1:20" ht="15.75" thickBot="1" x14ac:dyDescent="0.3">
      <c r="A43" s="2" t="s">
        <v>13</v>
      </c>
      <c r="D43" s="12"/>
      <c r="G43" s="12"/>
      <c r="I43" s="12"/>
      <c r="J43" s="24">
        <f>J11-J40</f>
        <v>-194.30887500000017</v>
      </c>
      <c r="L43" s="166"/>
      <c r="M43" s="166"/>
      <c r="N43" s="166"/>
      <c r="O43" s="166"/>
      <c r="P43" s="166"/>
      <c r="Q43" s="169"/>
      <c r="R43" s="166"/>
      <c r="S43" s="166"/>
      <c r="T43" s="166"/>
    </row>
    <row r="44" spans="1:20" ht="10.5" customHeight="1" thickTop="1" x14ac:dyDescent="0.25">
      <c r="L44" s="166"/>
      <c r="M44" s="166"/>
      <c r="N44" s="166"/>
      <c r="O44" s="166"/>
      <c r="P44" s="166"/>
      <c r="Q44" s="166"/>
      <c r="R44" s="166"/>
      <c r="S44" s="166"/>
      <c r="T44" s="166"/>
    </row>
    <row r="45" spans="1:20" ht="11.25" customHeight="1" x14ac:dyDescent="0.25">
      <c r="A45" s="28"/>
      <c r="B45" s="29"/>
      <c r="C45" s="29"/>
      <c r="D45" s="30"/>
      <c r="E45" s="29"/>
      <c r="F45" s="29"/>
      <c r="G45" s="30"/>
      <c r="H45" s="29"/>
      <c r="I45" s="30"/>
      <c r="J45" s="18"/>
      <c r="L45" s="166"/>
      <c r="M45" s="166"/>
      <c r="N45" s="166"/>
      <c r="O45" s="166"/>
      <c r="P45" s="166"/>
      <c r="Q45" s="166"/>
      <c r="R45" s="166"/>
      <c r="S45" s="166"/>
      <c r="T45" s="166"/>
    </row>
    <row r="46" spans="1:20" x14ac:dyDescent="0.25">
      <c r="A46" s="197" t="s">
        <v>45</v>
      </c>
      <c r="B46" s="198"/>
      <c r="C46" s="198"/>
      <c r="D46" s="198"/>
      <c r="E46" s="198"/>
      <c r="F46" s="198"/>
      <c r="G46" s="198"/>
      <c r="H46" s="198"/>
      <c r="I46" s="198"/>
      <c r="J46" s="198"/>
      <c r="L46" s="166"/>
      <c r="M46" s="166"/>
      <c r="N46" s="166"/>
      <c r="O46" s="166"/>
      <c r="P46" s="166"/>
      <c r="Q46" s="166"/>
      <c r="R46" s="166"/>
      <c r="S46" s="166"/>
      <c r="T46" s="166"/>
    </row>
    <row r="47" spans="1:20" ht="16.5" customHeight="1" x14ac:dyDescent="0.25">
      <c r="A47" s="32" t="s">
        <v>46</v>
      </c>
      <c r="B47" s="32"/>
      <c r="C47" s="32"/>
      <c r="D47" s="32"/>
      <c r="E47" s="32"/>
      <c r="F47" s="32"/>
      <c r="G47" s="32"/>
      <c r="H47" s="32"/>
      <c r="I47" s="203" t="str">
        <f>TEXT(Introduction!L8,"MMM. DD, YYYY")</f>
        <v>Version- 12.27.2021</v>
      </c>
      <c r="J47" s="203"/>
      <c r="L47" s="166"/>
      <c r="M47" s="166"/>
      <c r="N47" s="166"/>
      <c r="O47" s="166"/>
      <c r="P47" s="166"/>
      <c r="Q47" s="166"/>
      <c r="R47" s="166"/>
      <c r="S47" s="166"/>
      <c r="T47" s="166"/>
    </row>
    <row r="48" spans="1:20" ht="22.5" customHeight="1" x14ac:dyDescent="0.25">
      <c r="B48" s="36"/>
    </row>
    <row r="49" spans="1:10" ht="27" customHeight="1" thickBot="1" x14ac:dyDescent="0.35">
      <c r="A49" s="199" t="s">
        <v>41</v>
      </c>
      <c r="B49" s="200"/>
      <c r="C49" s="201"/>
      <c r="D49" s="201"/>
      <c r="E49" s="201"/>
      <c r="F49" s="201"/>
      <c r="G49" s="202"/>
      <c r="H49" s="202"/>
      <c r="I49" s="202"/>
      <c r="J49" s="202"/>
    </row>
    <row r="91" spans="1:10" ht="12.75" customHeight="1" x14ac:dyDescent="0.25"/>
    <row r="92" spans="1:10" ht="17.25" customHeight="1" x14ac:dyDescent="0.25"/>
    <row r="93" spans="1:10" x14ac:dyDescent="0.25">
      <c r="A93" s="197" t="s">
        <v>45</v>
      </c>
      <c r="B93" s="198"/>
      <c r="C93" s="198"/>
      <c r="D93" s="198"/>
      <c r="E93" s="198"/>
      <c r="F93" s="198"/>
      <c r="G93" s="198"/>
      <c r="H93" s="198"/>
      <c r="I93" s="198"/>
      <c r="J93" s="198"/>
    </row>
    <row r="94" spans="1:10" ht="16.5" customHeight="1" x14ac:dyDescent="0.25">
      <c r="A94" s="32" t="s">
        <v>46</v>
      </c>
      <c r="B94" s="32"/>
      <c r="C94" s="32"/>
      <c r="D94" s="32"/>
      <c r="E94" s="32"/>
      <c r="F94" s="32"/>
      <c r="G94" s="32"/>
      <c r="H94" s="32"/>
      <c r="I94" s="206" t="str">
        <f>I47</f>
        <v>Version- 12.27.2021</v>
      </c>
      <c r="J94" s="206"/>
    </row>
    <row r="95" spans="1:10" ht="22.5" customHeight="1" x14ac:dyDescent="0.25">
      <c r="A95" s="62"/>
      <c r="B95" s="62"/>
      <c r="C95" s="62"/>
      <c r="D95" s="62"/>
      <c r="E95" s="62"/>
      <c r="F95" s="62"/>
      <c r="G95" s="62"/>
      <c r="H95" s="62"/>
      <c r="I95" s="62"/>
      <c r="J95" s="62"/>
    </row>
    <row r="96" spans="1:10" ht="27" customHeight="1" thickBot="1" x14ac:dyDescent="0.35">
      <c r="A96" s="199" t="s">
        <v>41</v>
      </c>
      <c r="B96" s="200"/>
      <c r="C96" s="201"/>
      <c r="D96" s="201"/>
      <c r="E96" s="201"/>
      <c r="F96" s="201"/>
      <c r="G96" s="202"/>
      <c r="H96" s="202"/>
      <c r="I96" s="202"/>
      <c r="J96" s="202"/>
    </row>
    <row r="97" spans="1:8" ht="15.75" x14ac:dyDescent="0.25">
      <c r="A97" s="63" t="s">
        <v>91</v>
      </c>
    </row>
    <row r="99" spans="1:8" ht="15.75" thickBot="1" x14ac:dyDescent="0.3">
      <c r="A99" s="48" t="s">
        <v>61</v>
      </c>
      <c r="B99" s="207" t="s">
        <v>62</v>
      </c>
      <c r="C99" s="207"/>
      <c r="D99" s="207"/>
      <c r="E99" s="207"/>
      <c r="F99" s="207"/>
      <c r="G99" s="207"/>
      <c r="H99" s="207"/>
    </row>
    <row r="100" spans="1:8" x14ac:dyDescent="0.25">
      <c r="A100" s="28"/>
      <c r="B100" s="16" t="s">
        <v>17</v>
      </c>
      <c r="C100" s="16" t="s">
        <v>3</v>
      </c>
      <c r="D100" s="29"/>
      <c r="E100" s="29"/>
    </row>
    <row r="101" spans="1:8" x14ac:dyDescent="0.25">
      <c r="A101" t="s">
        <v>23</v>
      </c>
      <c r="B101" s="46">
        <f>Feed!C5</f>
        <v>9.5</v>
      </c>
      <c r="C101" s="6" t="s">
        <v>86</v>
      </c>
      <c r="D101" s="6"/>
    </row>
    <row r="102" spans="1:8" x14ac:dyDescent="0.25">
      <c r="A102" t="s">
        <v>83</v>
      </c>
      <c r="B102" s="57">
        <f>Feed!C6</f>
        <v>2</v>
      </c>
      <c r="C102" s="6" t="s">
        <v>86</v>
      </c>
      <c r="D102" s="6"/>
    </row>
    <row r="103" spans="1:8" x14ac:dyDescent="0.25">
      <c r="A103" s="44" t="s">
        <v>109</v>
      </c>
      <c r="B103" s="57">
        <f>Feed!C7</f>
        <v>2.25</v>
      </c>
      <c r="C103" s="6" t="s">
        <v>87</v>
      </c>
      <c r="D103" s="6"/>
    </row>
    <row r="104" spans="1:8" x14ac:dyDescent="0.25">
      <c r="A104" s="44" t="s">
        <v>82</v>
      </c>
      <c r="B104" s="57">
        <f>Feed!C8</f>
        <v>0</v>
      </c>
      <c r="C104" s="6" t="s">
        <v>87</v>
      </c>
      <c r="D104" s="6"/>
    </row>
    <row r="105" spans="1:8" x14ac:dyDescent="0.25">
      <c r="A105" s="44" t="s">
        <v>55</v>
      </c>
      <c r="B105" s="57">
        <f>Feed!C9</f>
        <v>0</v>
      </c>
      <c r="C105" s="6" t="s">
        <v>87</v>
      </c>
      <c r="D105" s="6"/>
    </row>
    <row r="106" spans="1:8" x14ac:dyDescent="0.25">
      <c r="A106" t="s">
        <v>81</v>
      </c>
      <c r="B106" s="57">
        <f>Feed!C10</f>
        <v>2.25</v>
      </c>
      <c r="C106" s="6" t="s">
        <v>87</v>
      </c>
      <c r="D106" s="6"/>
    </row>
    <row r="107" spans="1:8" x14ac:dyDescent="0.25">
      <c r="A107" s="44" t="s">
        <v>58</v>
      </c>
      <c r="B107" s="46">
        <f>Feed!C11</f>
        <v>95.04</v>
      </c>
      <c r="C107" s="6" t="s">
        <v>88</v>
      </c>
      <c r="D107" s="6"/>
    </row>
    <row r="108" spans="1:8" x14ac:dyDescent="0.25">
      <c r="A108" s="44" t="s">
        <v>59</v>
      </c>
      <c r="B108" s="46">
        <f>Feed!C12</f>
        <v>738</v>
      </c>
      <c r="C108" s="6" t="s">
        <v>88</v>
      </c>
      <c r="D108" s="6"/>
    </row>
    <row r="109" spans="1:8" x14ac:dyDescent="0.25">
      <c r="A109" s="44" t="s">
        <v>60</v>
      </c>
      <c r="B109" s="46">
        <f>Feed!C13</f>
        <v>0</v>
      </c>
      <c r="C109" s="6" t="s">
        <v>88</v>
      </c>
      <c r="D109" s="6"/>
    </row>
    <row r="110" spans="1:8" x14ac:dyDescent="0.25">
      <c r="A110" t="s">
        <v>80</v>
      </c>
      <c r="B110" s="46">
        <f>Feed!C14</f>
        <v>833.04</v>
      </c>
      <c r="C110" s="6" t="s">
        <v>88</v>
      </c>
      <c r="D110" s="6"/>
    </row>
    <row r="111" spans="1:8" x14ac:dyDescent="0.25">
      <c r="A111" t="s">
        <v>43</v>
      </c>
      <c r="B111" s="46">
        <f>Feed!C15</f>
        <v>100</v>
      </c>
      <c r="C111" s="6" t="s">
        <v>88</v>
      </c>
      <c r="D111" s="6"/>
    </row>
    <row r="116" spans="1:6" ht="15.75" thickBot="1" x14ac:dyDescent="0.3">
      <c r="A116" s="48" t="s">
        <v>110</v>
      </c>
      <c r="B116" s="47"/>
      <c r="C116" s="47"/>
      <c r="D116" s="47"/>
      <c r="E116" s="29"/>
      <c r="F116" s="29"/>
    </row>
    <row r="117" spans="1:6" ht="30" customHeight="1" x14ac:dyDescent="0.25">
      <c r="A117" s="59"/>
      <c r="B117" s="174" t="str">
        <f>Prices!A1</f>
        <v>2022 Production Year</v>
      </c>
      <c r="C117" s="209" t="s">
        <v>92</v>
      </c>
      <c r="D117" s="209"/>
    </row>
    <row r="118" spans="1:6" x14ac:dyDescent="0.25">
      <c r="A118" t="str">
        <f>Prices!A5</f>
        <v>Corn ($/bu)</v>
      </c>
      <c r="B118" s="60">
        <f>Prices!B5</f>
        <v>6.16</v>
      </c>
      <c r="C118" s="204">
        <f>Prices!C5</f>
        <v>3.55</v>
      </c>
      <c r="D118" s="205"/>
    </row>
    <row r="119" spans="1:6" x14ac:dyDescent="0.25">
      <c r="A119" t="str">
        <f>Prices!A6</f>
        <v>Soybean Meal ($/ton)</v>
      </c>
      <c r="B119" s="60">
        <f>Prices!B6</f>
        <v>384.9</v>
      </c>
      <c r="C119" s="204">
        <f>Prices!C6</f>
        <v>341</v>
      </c>
      <c r="D119" s="205"/>
    </row>
    <row r="120" spans="1:6" x14ac:dyDescent="0.25">
      <c r="A120" t="str">
        <f>Prices!A7</f>
        <v>DDGS ($/ton)</v>
      </c>
      <c r="B120" s="60">
        <f>Prices!B7</f>
        <v>235</v>
      </c>
      <c r="C120" s="204">
        <f>Prices!C7</f>
        <v>135.43019480519482</v>
      </c>
      <c r="D120" s="205"/>
    </row>
    <row r="121" spans="1:6" x14ac:dyDescent="0.25">
      <c r="A121" t="str">
        <f>Prices!A9</f>
        <v>Silage ($/ton)</v>
      </c>
      <c r="B121" s="60">
        <f>Prices!B9</f>
        <v>49.28</v>
      </c>
      <c r="C121" s="204">
        <f>Prices!C9</f>
        <v>28.4</v>
      </c>
      <c r="D121" s="205"/>
    </row>
    <row r="122" spans="1:6" x14ac:dyDescent="0.25">
      <c r="A122" t="str">
        <f>Prices!A10</f>
        <v>Prairie Hay ($/ton)</v>
      </c>
      <c r="B122" s="60">
        <f>Prices!B10</f>
        <v>125</v>
      </c>
      <c r="C122" s="204">
        <f>Prices!C10</f>
        <v>72.037337662337663</v>
      </c>
      <c r="D122" s="205"/>
    </row>
    <row r="123" spans="1:6" x14ac:dyDescent="0.25">
      <c r="A123" t="str">
        <f>Prices!A11</f>
        <v>Alfalfa ($/ton)</v>
      </c>
      <c r="B123" s="60">
        <f>Prices!B11</f>
        <v>145</v>
      </c>
      <c r="C123" s="204">
        <f>Prices!C11</f>
        <v>83.563311688311686</v>
      </c>
      <c r="D123" s="205"/>
    </row>
    <row r="124" spans="1:6" x14ac:dyDescent="0.25">
      <c r="A124" t="str">
        <f>Prices!A12</f>
        <v>Pasture Rental ($/acre)</v>
      </c>
      <c r="B124" s="60">
        <f>Prices!B12</f>
        <v>20.5</v>
      </c>
      <c r="C124" s="204">
        <f>Prices!C12</f>
        <v>22.55</v>
      </c>
      <c r="D124" s="205"/>
    </row>
    <row r="125" spans="1:6" x14ac:dyDescent="0.25">
      <c r="A125" t="str">
        <f>Prices!A13</f>
        <v>Crop Residue ($/acre)</v>
      </c>
      <c r="B125" s="60">
        <f>Prices!B13</f>
        <v>16</v>
      </c>
      <c r="C125" s="204">
        <f>Prices!C13</f>
        <v>17.600000000000001</v>
      </c>
      <c r="D125" s="205"/>
    </row>
    <row r="126" spans="1:6" x14ac:dyDescent="0.25">
      <c r="A126" t="str">
        <f>Prices!A14</f>
        <v>Beef Cow Mineral ($/ton)</v>
      </c>
      <c r="B126" s="60">
        <f>Prices!B14</f>
        <v>950</v>
      </c>
      <c r="C126" s="204">
        <f>Prices!C14</f>
        <v>1045</v>
      </c>
      <c r="D126" s="205"/>
    </row>
    <row r="127" spans="1:6" x14ac:dyDescent="0.25">
      <c r="A127" t="str">
        <f>Prices!A17</f>
        <v>Oct. Heifer Calf Price ($/cwt)*</v>
      </c>
      <c r="B127" s="60">
        <f>Prices!B17</f>
        <v>184.92</v>
      </c>
      <c r="C127" s="204">
        <f>Prices!C17</f>
        <v>146.58999055337344</v>
      </c>
      <c r="D127" s="204"/>
      <c r="E127" s="61"/>
      <c r="F127" s="30"/>
    </row>
    <row r="128" spans="1:6" x14ac:dyDescent="0.25">
      <c r="A128" t="str">
        <f>Prices!A18</f>
        <v>Oct. Steer Calves Price ($/cwt)*</v>
      </c>
      <c r="B128" s="60">
        <f>Prices!B18</f>
        <v>201.13</v>
      </c>
      <c r="C128" s="204">
        <f>Prices!C18</f>
        <v>159.44</v>
      </c>
      <c r="D128" s="204"/>
      <c r="E128" s="120"/>
      <c r="F128" s="121"/>
    </row>
    <row r="129" spans="1:10" x14ac:dyDescent="0.25">
      <c r="A129" t="str">
        <f>Prices!A22</f>
        <v>Beef Cull cow ($/cwt)</v>
      </c>
      <c r="B129" s="60">
        <f>Prices!B22</f>
        <v>125</v>
      </c>
      <c r="C129" s="204">
        <f>Prices!C22</f>
        <v>102.33035714285714</v>
      </c>
      <c r="D129" s="204"/>
      <c r="E129" s="120"/>
      <c r="F129" s="121"/>
    </row>
    <row r="130" spans="1:10" x14ac:dyDescent="0.25">
      <c r="B130" s="60"/>
      <c r="C130" s="120"/>
      <c r="D130" s="121"/>
      <c r="E130" s="120"/>
      <c r="F130" s="121"/>
    </row>
    <row r="131" spans="1:10" s="6" customFormat="1" x14ac:dyDescent="0.25">
      <c r="A131" s="6" t="str">
        <f>Prices!A25</f>
        <v>* This a predicted October price for the budget year</v>
      </c>
      <c r="B131" s="159"/>
      <c r="C131" s="160"/>
      <c r="D131" s="161"/>
      <c r="E131" s="160"/>
      <c r="F131" s="161"/>
    </row>
    <row r="132" spans="1:10" s="6" customFormat="1" x14ac:dyDescent="0.25">
      <c r="B132" s="159"/>
      <c r="C132" s="160"/>
      <c r="D132" s="161"/>
      <c r="E132" s="160"/>
      <c r="F132" s="161"/>
    </row>
    <row r="133" spans="1:10" ht="63" customHeight="1" x14ac:dyDescent="0.25">
      <c r="B133" s="60"/>
      <c r="C133" s="120"/>
      <c r="D133" s="121"/>
      <c r="E133" s="120"/>
      <c r="F133" s="121"/>
    </row>
    <row r="134" spans="1:10" ht="34.5" customHeight="1" x14ac:dyDescent="0.25"/>
    <row r="135" spans="1:10" x14ac:dyDescent="0.25">
      <c r="A135" s="197" t="s">
        <v>45</v>
      </c>
      <c r="B135" s="198"/>
      <c r="C135" s="198"/>
      <c r="D135" s="198"/>
      <c r="E135" s="198"/>
      <c r="F135" s="198"/>
      <c r="G135" s="198"/>
      <c r="H135" s="198"/>
      <c r="I135" s="198"/>
      <c r="J135" s="198"/>
    </row>
    <row r="136" spans="1:10" ht="15.75" x14ac:dyDescent="0.25">
      <c r="A136" s="32" t="s">
        <v>46</v>
      </c>
      <c r="B136" s="32"/>
      <c r="C136" s="32"/>
      <c r="D136" s="32"/>
      <c r="E136" s="32"/>
      <c r="F136" s="32"/>
      <c r="G136" s="32"/>
      <c r="H136" s="32"/>
      <c r="I136" s="206" t="str">
        <f>I94</f>
        <v>Version- 12.27.2021</v>
      </c>
      <c r="J136" s="206"/>
    </row>
  </sheetData>
  <sheetProtection algorithmName="SHA-512" hashValue="QjWwAaB/Oy4gI8dg+WAvaDym3+m8kXs9V94UrIVPPHGbTuU0rXINH5n+qc9AM78Zj+5jqxL9kbWCALfyARPy6w==" saltValue="+30TikkAS3eFARlqNq+KNw==" spinCount="100000" sheet="1" objects="1" scenarios="1"/>
  <mergeCells count="30">
    <mergeCell ref="L2:T2"/>
    <mergeCell ref="I136:J136"/>
    <mergeCell ref="C128:D128"/>
    <mergeCell ref="C129:D129"/>
    <mergeCell ref="A135:J135"/>
    <mergeCell ref="A96:B96"/>
    <mergeCell ref="C96:F96"/>
    <mergeCell ref="G96:J96"/>
    <mergeCell ref="C117:D117"/>
    <mergeCell ref="C118:D118"/>
    <mergeCell ref="C119:D119"/>
    <mergeCell ref="C120:D120"/>
    <mergeCell ref="C121:D121"/>
    <mergeCell ref="C122:D122"/>
    <mergeCell ref="C123:D123"/>
    <mergeCell ref="C124:D124"/>
    <mergeCell ref="C127:D127"/>
    <mergeCell ref="C125:D125"/>
    <mergeCell ref="C126:D126"/>
    <mergeCell ref="A46:J46"/>
    <mergeCell ref="I94:J94"/>
    <mergeCell ref="B99:H99"/>
    <mergeCell ref="A1:B1"/>
    <mergeCell ref="C1:F1"/>
    <mergeCell ref="G1:J1"/>
    <mergeCell ref="A93:J93"/>
    <mergeCell ref="A49:B49"/>
    <mergeCell ref="C49:F49"/>
    <mergeCell ref="G49:J49"/>
    <mergeCell ref="I47:J47"/>
  </mergeCells>
  <dataValidations count="1">
    <dataValidation type="list" showInputMessage="1" showErrorMessage="1" prompt="Select a price horizon to budget from" sqref="C1:F1">
      <formula1>price_selections</formula1>
    </dataValidation>
  </dataValidations>
  <pageMargins left="0.25" right="0.25" top="0.75" bottom="0.5" header="0.3" footer="0"/>
  <pageSetup scale="97" orientation="portrait" horizontalDpi="4294967295" verticalDpi="4294967295" r:id="rId1"/>
  <headerFooter scaleWithDoc="0">
    <oddHeader xml:space="preserve">&amp;L&amp;"-,Bold"&amp;20FARM MANAGEMENT GUIDE &amp;"-,Regular"        
</oddHeader>
  </headerFooter>
  <rowBreaks count="2" manualBreakCount="2">
    <brk id="48" max="9" man="1"/>
    <brk id="9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9222" r:id="rId4" name="Button 6">
              <controlPr defaultSize="0" print="0" autoFill="0" autoPict="0" macro="[0]!PrintCowCalfBudget">
                <anchor moveWithCells="1" sizeWithCells="1">
                  <from>
                    <xdr:col>11</xdr:col>
                    <xdr:colOff>9525</xdr:colOff>
                    <xdr:row>3</xdr:row>
                    <xdr:rowOff>66675</xdr:rowOff>
                  </from>
                  <to>
                    <xdr:col>14</xdr:col>
                    <xdr:colOff>447675</xdr:colOff>
                    <xdr:row>5</xdr:row>
                    <xdr:rowOff>0</xdr:rowOff>
                  </to>
                </anchor>
              </controlPr>
            </control>
          </mc:Choice>
        </mc:AlternateContent>
        <mc:AlternateContent xmlns:mc="http://schemas.openxmlformats.org/markup-compatibility/2006">
          <mc:Choice Requires="x14">
            <control shapeId="9224" r:id="rId5" name="Button 8">
              <controlPr defaultSize="0" print="0" autoFill="0" autoPict="0" macro="[0]!PrintCowCalfPage">
                <anchor moveWithCells="1" sizeWithCells="1">
                  <from>
                    <xdr:col>11</xdr:col>
                    <xdr:colOff>9525</xdr:colOff>
                    <xdr:row>6</xdr:row>
                    <xdr:rowOff>19050</xdr:rowOff>
                  </from>
                  <to>
                    <xdr:col>14</xdr:col>
                    <xdr:colOff>438150</xdr:colOff>
                    <xdr:row>6</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sheetPr>
  <dimension ref="A1:T132"/>
  <sheetViews>
    <sheetView zoomScale="110" zoomScaleNormal="110" workbookViewId="0">
      <selection activeCell="A11" sqref="A11"/>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7" width="4.28515625" customWidth="1"/>
    <col min="8" max="8" width="4" customWidth="1"/>
    <col min="9" max="9" width="7.42578125" customWidth="1"/>
    <col min="10" max="10" width="17.5703125" customWidth="1"/>
  </cols>
  <sheetData>
    <row r="1" spans="1:20" ht="20.25" customHeight="1" x14ac:dyDescent="0.25">
      <c r="A1" s="193" t="s">
        <v>93</v>
      </c>
      <c r="B1" s="194"/>
      <c r="C1" s="195" t="str">
        <f>Prices!A1</f>
        <v>2022 Production Year</v>
      </c>
      <c r="D1" s="195"/>
      <c r="E1" s="195"/>
      <c r="F1" s="195"/>
      <c r="G1" s="210" t="str">
        <f>IF(C1=Prices!B3,TEXT(Prices!B4,"MMM-YYYY"),TEXT(Prices!C4,"MMM-YYYY"))</f>
        <v>(as of Dec. 21st, 2021)</v>
      </c>
      <c r="H1" s="210"/>
      <c r="I1" s="210"/>
      <c r="J1" s="210"/>
      <c r="K1" s="69"/>
      <c r="L1" s="22"/>
      <c r="M1" s="22"/>
      <c r="N1" s="22"/>
    </row>
    <row r="2" spans="1:20" x14ac:dyDescent="0.25">
      <c r="A2" s="20"/>
      <c r="B2" s="21"/>
      <c r="C2" s="22"/>
      <c r="D2" s="23"/>
      <c r="E2" s="22"/>
      <c r="F2" s="22"/>
      <c r="G2" s="23"/>
      <c r="H2" s="22"/>
      <c r="I2" s="23"/>
      <c r="J2" s="22"/>
      <c r="K2" s="22"/>
      <c r="L2" s="208" t="s">
        <v>143</v>
      </c>
      <c r="M2" s="208"/>
      <c r="N2" s="208"/>
      <c r="O2" s="208"/>
      <c r="P2" s="208"/>
      <c r="Q2" s="208"/>
      <c r="R2" s="208"/>
      <c r="S2" s="208"/>
      <c r="T2" s="208"/>
    </row>
    <row r="3" spans="1:20" x14ac:dyDescent="0.25">
      <c r="A3" s="11" t="s">
        <v>1</v>
      </c>
      <c r="D3" s="41"/>
      <c r="G3" s="41"/>
      <c r="I3" s="41"/>
      <c r="K3" s="22"/>
      <c r="L3" s="96"/>
      <c r="M3" s="96"/>
      <c r="N3" s="96"/>
      <c r="O3" s="166"/>
      <c r="P3" s="166"/>
      <c r="Q3" s="166"/>
      <c r="R3" s="166"/>
      <c r="S3" s="166"/>
      <c r="T3" s="166"/>
    </row>
    <row r="4" spans="1:20" x14ac:dyDescent="0.25">
      <c r="A4" t="s">
        <v>51</v>
      </c>
      <c r="B4" s="103">
        <v>0.02</v>
      </c>
      <c r="D4" s="41"/>
      <c r="F4" s="43"/>
      <c r="G4" s="41"/>
      <c r="I4" s="44"/>
      <c r="J4" s="44" t="s">
        <v>102</v>
      </c>
      <c r="K4" s="22"/>
      <c r="L4" s="96"/>
      <c r="M4" s="96"/>
      <c r="N4" s="96"/>
      <c r="O4" s="166"/>
      <c r="P4" s="166"/>
      <c r="Q4" s="166"/>
      <c r="R4" s="166"/>
      <c r="S4" s="166"/>
      <c r="T4" s="166"/>
    </row>
    <row r="5" spans="1:20" x14ac:dyDescent="0.25">
      <c r="A5" t="s">
        <v>56</v>
      </c>
      <c r="B5" s="106">
        <v>150</v>
      </c>
      <c r="C5" s="211" t="s">
        <v>53</v>
      </c>
      <c r="D5" s="211"/>
      <c r="E5" s="211"/>
      <c r="F5" s="109">
        <v>1.25</v>
      </c>
      <c r="G5" s="41"/>
      <c r="I5" s="41"/>
      <c r="J5" s="71">
        <f>(E9-E10)/100</f>
        <v>1.875</v>
      </c>
      <c r="K5" s="22"/>
      <c r="L5" s="96"/>
      <c r="M5" s="96"/>
      <c r="N5" s="96"/>
      <c r="O5" s="166"/>
      <c r="P5" s="166"/>
      <c r="Q5" s="166"/>
      <c r="R5" s="166"/>
      <c r="S5" s="166"/>
      <c r="T5" s="166"/>
    </row>
    <row r="6" spans="1:20" x14ac:dyDescent="0.25">
      <c r="B6" s="3"/>
      <c r="C6" s="211"/>
      <c r="D6" s="211"/>
      <c r="E6" s="211"/>
      <c r="F6" s="49"/>
      <c r="G6" s="56"/>
      <c r="I6" s="56"/>
      <c r="K6" s="22"/>
      <c r="L6" s="96"/>
      <c r="M6" s="96"/>
      <c r="N6" s="96"/>
      <c r="O6" s="166"/>
      <c r="P6" s="166"/>
      <c r="Q6" s="166"/>
      <c r="R6" s="166"/>
      <c r="S6" s="166"/>
      <c r="T6" s="166"/>
    </row>
    <row r="7" spans="1:20" x14ac:dyDescent="0.25">
      <c r="D7" s="41"/>
      <c r="G7" s="41"/>
      <c r="I7" s="41"/>
      <c r="K7" s="22"/>
      <c r="L7" s="96"/>
      <c r="M7" s="96"/>
      <c r="N7" s="96"/>
      <c r="O7" s="166"/>
      <c r="P7" s="166"/>
      <c r="Q7" s="166"/>
      <c r="R7" s="166"/>
      <c r="S7" s="166"/>
      <c r="T7" s="166"/>
    </row>
    <row r="8" spans="1:20" x14ac:dyDescent="0.25">
      <c r="A8" s="16" t="s">
        <v>71</v>
      </c>
      <c r="B8" s="16" t="s">
        <v>2</v>
      </c>
      <c r="C8" s="16" t="s">
        <v>3</v>
      </c>
      <c r="D8" s="16"/>
      <c r="E8" s="16" t="s">
        <v>17</v>
      </c>
      <c r="F8" s="16" t="s">
        <v>3</v>
      </c>
      <c r="G8" s="16"/>
      <c r="H8" s="16"/>
      <c r="I8" s="16"/>
      <c r="J8" s="16" t="s">
        <v>19</v>
      </c>
      <c r="K8" s="22"/>
      <c r="L8" s="96"/>
      <c r="M8" s="96"/>
      <c r="N8" s="96"/>
      <c r="O8" s="166"/>
      <c r="P8" s="166"/>
      <c r="Q8" s="166"/>
      <c r="R8" s="166"/>
      <c r="S8" s="166"/>
      <c r="T8" s="166"/>
    </row>
    <row r="9" spans="1:20" x14ac:dyDescent="0.25">
      <c r="A9" t="s">
        <v>95</v>
      </c>
      <c r="B9" s="113">
        <f>(IF(C1=Prices!A1,Prices!B23,Prices!C23))+((E9-738)*-0.0842)</f>
        <v>164.4221</v>
      </c>
      <c r="C9" s="6" t="s">
        <v>44</v>
      </c>
      <c r="D9" s="41" t="s">
        <v>49</v>
      </c>
      <c r="E9" s="115">
        <f>E10+(B5*F5)</f>
        <v>737.5</v>
      </c>
      <c r="F9" s="6" t="s">
        <v>4</v>
      </c>
      <c r="G9" s="41"/>
      <c r="H9" s="5"/>
      <c r="I9" s="13" t="s">
        <v>6</v>
      </c>
      <c r="J9" s="4">
        <f>B9*(E9/100)</f>
        <v>1212.6129874999999</v>
      </c>
      <c r="K9" s="22"/>
      <c r="L9" s="96"/>
      <c r="M9" s="96"/>
      <c r="N9" s="96"/>
      <c r="O9" s="166"/>
      <c r="P9" s="166"/>
      <c r="Q9" s="166"/>
      <c r="R9" s="170"/>
      <c r="S9" s="166"/>
      <c r="T9" s="166"/>
    </row>
    <row r="10" spans="1:20" x14ac:dyDescent="0.25">
      <c r="A10" t="s">
        <v>47</v>
      </c>
      <c r="B10" s="113">
        <f>(IF(C1=Prices!A1,Prices!B18,Prices!C18))</f>
        <v>201.13</v>
      </c>
      <c r="C10" s="6" t="s">
        <v>44</v>
      </c>
      <c r="D10" s="41" t="s">
        <v>49</v>
      </c>
      <c r="E10" s="105">
        <f>'Cow-Calf'!E8</f>
        <v>550</v>
      </c>
      <c r="F10" s="6" t="s">
        <v>4</v>
      </c>
      <c r="G10" s="41"/>
      <c r="H10" s="5"/>
      <c r="I10" s="13" t="s">
        <v>50</v>
      </c>
      <c r="J10" s="4">
        <f>-(B10*(E10/100))</f>
        <v>-1106.2149999999999</v>
      </c>
      <c r="K10" s="22"/>
      <c r="L10" s="96"/>
      <c r="M10" s="96"/>
      <c r="N10" s="96"/>
      <c r="O10" s="166"/>
      <c r="P10" s="166"/>
      <c r="Q10" s="166"/>
      <c r="R10" s="168"/>
      <c r="S10" s="168"/>
      <c r="T10" s="166"/>
    </row>
    <row r="11" spans="1:20" x14ac:dyDescent="0.25">
      <c r="A11" t="s">
        <v>51</v>
      </c>
      <c r="B11" s="1"/>
      <c r="C11" s="6"/>
      <c r="D11" s="41"/>
      <c r="E11" s="31"/>
      <c r="F11" s="6"/>
      <c r="G11" s="41"/>
      <c r="H11" s="5"/>
      <c r="I11" s="13"/>
      <c r="J11" s="4">
        <f>(B4*J10)</f>
        <v>-22.124299999999998</v>
      </c>
      <c r="K11" s="22"/>
      <c r="L11" s="96"/>
      <c r="M11" s="96"/>
      <c r="N11" s="96"/>
      <c r="O11" s="166"/>
      <c r="P11" s="166"/>
      <c r="Q11" s="166"/>
      <c r="R11" s="166"/>
      <c r="S11" s="166"/>
      <c r="T11" s="166"/>
    </row>
    <row r="12" spans="1:20" x14ac:dyDescent="0.25">
      <c r="A12" t="s">
        <v>22</v>
      </c>
      <c r="B12" s="1"/>
      <c r="C12" s="6"/>
      <c r="D12" s="41"/>
      <c r="E12" s="3"/>
      <c r="F12" s="6"/>
      <c r="G12" s="41"/>
      <c r="H12" s="5"/>
      <c r="I12" s="13"/>
      <c r="J12" s="1"/>
      <c r="K12" s="22"/>
      <c r="L12" s="96"/>
      <c r="M12" s="96"/>
      <c r="N12" s="96"/>
      <c r="O12" s="166"/>
      <c r="P12" s="166"/>
      <c r="Q12" s="166"/>
      <c r="R12" s="166"/>
      <c r="S12" s="166"/>
      <c r="T12" s="166"/>
    </row>
    <row r="13" spans="1:20" x14ac:dyDescent="0.25">
      <c r="A13" s="19" t="s">
        <v>72</v>
      </c>
      <c r="B13" s="14"/>
      <c r="C13" s="14"/>
      <c r="D13" s="15"/>
      <c r="E13" s="14"/>
      <c r="F13" s="14"/>
      <c r="G13" s="15"/>
      <c r="H13" s="14"/>
      <c r="I13" s="15"/>
      <c r="J13" s="17">
        <f>SUM(J9:J12)</f>
        <v>84.273687499999994</v>
      </c>
      <c r="K13" s="22"/>
      <c r="L13" s="96"/>
      <c r="M13" s="96"/>
      <c r="N13" s="96"/>
      <c r="O13" s="166"/>
      <c r="P13" s="166"/>
      <c r="Q13" s="166"/>
      <c r="R13" s="166"/>
      <c r="S13" s="166"/>
      <c r="T13" s="166"/>
    </row>
    <row r="14" spans="1:20" x14ac:dyDescent="0.25">
      <c r="A14" s="8"/>
      <c r="D14" s="41"/>
      <c r="G14" s="41"/>
      <c r="I14" s="41"/>
      <c r="K14" s="22"/>
      <c r="L14" s="96"/>
      <c r="M14" s="96"/>
      <c r="N14" s="96"/>
      <c r="O14" s="166"/>
      <c r="P14" s="166"/>
      <c r="Q14" s="166"/>
      <c r="R14" s="166"/>
      <c r="S14" s="166"/>
      <c r="T14" s="166"/>
    </row>
    <row r="15" spans="1:20" x14ac:dyDescent="0.25">
      <c r="A15" s="16" t="s">
        <v>8</v>
      </c>
      <c r="B15" s="14"/>
      <c r="C15" s="14"/>
      <c r="D15" s="15"/>
      <c r="E15" s="14"/>
      <c r="F15" s="14"/>
      <c r="G15" s="15"/>
      <c r="H15" s="14"/>
      <c r="I15" s="15"/>
      <c r="J15" s="14"/>
      <c r="K15" s="22"/>
      <c r="L15" s="96"/>
      <c r="M15" s="96"/>
      <c r="N15" s="96"/>
      <c r="O15" s="166"/>
      <c r="P15" s="166"/>
      <c r="Q15" s="166"/>
      <c r="R15" s="166"/>
      <c r="S15" s="166"/>
      <c r="T15" s="166"/>
    </row>
    <row r="16" spans="1:20" x14ac:dyDescent="0.25">
      <c r="A16" t="s">
        <v>23</v>
      </c>
      <c r="B16" s="113">
        <f>IF(C1=Prices!A1, Prices!B12,Prices!C12)</f>
        <v>20.5</v>
      </c>
      <c r="C16" s="6" t="s">
        <v>26</v>
      </c>
      <c r="D16" s="41" t="s">
        <v>49</v>
      </c>
      <c r="E16" s="46">
        <f>Feed!C20</f>
        <v>0</v>
      </c>
      <c r="F16" s="6" t="s">
        <v>74</v>
      </c>
      <c r="G16" s="41"/>
      <c r="H16" s="5"/>
      <c r="I16" s="13" t="s">
        <v>6</v>
      </c>
      <c r="J16" s="113">
        <f>B16*E16</f>
        <v>0</v>
      </c>
      <c r="K16" s="22"/>
      <c r="L16" s="96"/>
      <c r="M16" s="96"/>
      <c r="N16" s="96"/>
      <c r="O16" s="166"/>
      <c r="P16" s="166"/>
      <c r="Q16" s="166"/>
      <c r="R16" s="166"/>
      <c r="S16" s="166"/>
      <c r="T16" s="166"/>
    </row>
    <row r="17" spans="1:20" x14ac:dyDescent="0.25">
      <c r="A17" t="s">
        <v>25</v>
      </c>
      <c r="B17" s="113">
        <f>IF(C1=Prices!A1, Prices!B13,Prices!C13)</f>
        <v>16</v>
      </c>
      <c r="C17" s="6" t="s">
        <v>26</v>
      </c>
      <c r="D17" s="41" t="s">
        <v>49</v>
      </c>
      <c r="E17" s="46">
        <f>Feed!C21</f>
        <v>0</v>
      </c>
      <c r="F17" s="6" t="s">
        <v>74</v>
      </c>
      <c r="G17" s="41"/>
      <c r="H17" s="5"/>
      <c r="I17" s="13" t="s">
        <v>6</v>
      </c>
      <c r="J17" s="113">
        <f t="shared" ref="J17" si="0">B17*E17</f>
        <v>0</v>
      </c>
      <c r="K17" s="22"/>
      <c r="L17" s="96"/>
      <c r="M17" s="96"/>
      <c r="N17" s="96"/>
      <c r="O17" s="166"/>
      <c r="P17" s="168"/>
      <c r="Q17" s="166"/>
      <c r="R17" s="166"/>
      <c r="S17" s="166"/>
      <c r="T17" s="166"/>
    </row>
    <row r="18" spans="1:20" x14ac:dyDescent="0.25">
      <c r="A18" t="s">
        <v>24</v>
      </c>
      <c r="B18" s="113">
        <f>IF(C1=Prices!A1,(((Feed!C22/Feed!C25)*Prices!B10)+((Feed!C23/Feed!C25)*Prices!B9)+((Feed!C24/Feed!C25)*Prices!B11)),((Feed!C22/Feed!C25)*Prices!C10)+((Feed!C23/Feed!C25)*Prices!C9)+((Feed!C24/Feed!C25)*Prices!C11))</f>
        <v>135</v>
      </c>
      <c r="C18" s="6" t="s">
        <v>27</v>
      </c>
      <c r="D18" s="41" t="s">
        <v>49</v>
      </c>
      <c r="E18" s="57">
        <f>(Feed!C25/2000)*B5</f>
        <v>0.52500000000000002</v>
      </c>
      <c r="F18" s="6" t="s">
        <v>75</v>
      </c>
      <c r="G18" s="41"/>
      <c r="H18" s="5"/>
      <c r="I18" s="13" t="s">
        <v>6</v>
      </c>
      <c r="J18" s="113">
        <f>B18*E18</f>
        <v>70.875</v>
      </c>
      <c r="K18" s="22"/>
      <c r="L18" s="96"/>
      <c r="M18" s="167"/>
      <c r="N18" s="96"/>
      <c r="O18" s="166"/>
      <c r="P18" s="166"/>
      <c r="Q18" s="166"/>
      <c r="R18" s="166"/>
      <c r="S18" s="166"/>
      <c r="T18" s="166"/>
    </row>
    <row r="19" spans="1:20" x14ac:dyDescent="0.25">
      <c r="A19" s="26" t="s">
        <v>29</v>
      </c>
      <c r="B19" s="113">
        <f>IF(C1=Prices!A1,(((Feed!C28/Feed!C29)*Prices!B6)+((Feed!C27/Feed!C29)*Prices!B7)+((Feed!C26/Feed!C29)*(Prices!B5*2000)/56)),(((Feed!C28/Feed!C29)*Prices!C6)+((Feed!C27/Feed!C29)*Prices!C7)+((Feed!C26/Feed!C29)*(Prices!C5*2000)/56)))</f>
        <v>227.5</v>
      </c>
      <c r="C19" s="6" t="s">
        <v>27</v>
      </c>
      <c r="D19" s="41" t="s">
        <v>49</v>
      </c>
      <c r="E19" s="42">
        <f>Feed!C29*B5</f>
        <v>2100</v>
      </c>
      <c r="F19" s="6" t="s">
        <v>76</v>
      </c>
      <c r="G19" s="41"/>
      <c r="H19" s="5"/>
      <c r="I19" s="13" t="s">
        <v>6</v>
      </c>
      <c r="J19" s="113">
        <f>(B19/2000)*E19</f>
        <v>238.875</v>
      </c>
      <c r="K19" s="22"/>
      <c r="L19" s="96"/>
      <c r="M19" s="167"/>
      <c r="N19" s="96"/>
      <c r="O19" s="166"/>
      <c r="P19" s="166"/>
      <c r="Q19" s="166"/>
      <c r="R19" s="166"/>
      <c r="S19" s="166"/>
      <c r="T19" s="166"/>
    </row>
    <row r="20" spans="1:20" x14ac:dyDescent="0.25">
      <c r="A20" t="s">
        <v>28</v>
      </c>
      <c r="B20" s="113">
        <f>IF(C1=Prices!A1,Prices!B15,Prices!C15)</f>
        <v>650</v>
      </c>
      <c r="C20" s="6" t="s">
        <v>27</v>
      </c>
      <c r="D20" s="41" t="s">
        <v>49</v>
      </c>
      <c r="E20" s="46">
        <f>Feed!C30*B5</f>
        <v>45</v>
      </c>
      <c r="F20" s="6" t="s">
        <v>76</v>
      </c>
      <c r="G20" s="41"/>
      <c r="H20" s="5"/>
      <c r="I20" s="13" t="s">
        <v>6</v>
      </c>
      <c r="J20" s="113">
        <f>(B20/2000)*E20</f>
        <v>14.625</v>
      </c>
      <c r="K20" s="85"/>
      <c r="L20" s="96"/>
      <c r="M20" s="167"/>
      <c r="N20" s="96"/>
      <c r="O20" s="166"/>
      <c r="P20" s="166"/>
      <c r="Q20" s="166"/>
      <c r="R20" s="166"/>
      <c r="S20" s="166"/>
      <c r="T20" s="166"/>
    </row>
    <row r="21" spans="1:20" x14ac:dyDescent="0.25">
      <c r="A21" t="s">
        <v>116</v>
      </c>
      <c r="B21" s="104">
        <v>0</v>
      </c>
      <c r="C21" s="6" t="s">
        <v>117</v>
      </c>
      <c r="D21" s="112" t="s">
        <v>49</v>
      </c>
      <c r="E21" s="106">
        <v>0</v>
      </c>
      <c r="F21" s="6" t="s">
        <v>118</v>
      </c>
      <c r="G21" s="112"/>
      <c r="H21" s="5"/>
      <c r="I21" s="13" t="s">
        <v>50</v>
      </c>
      <c r="J21" s="104">
        <f>B21*E21</f>
        <v>0</v>
      </c>
      <c r="K21" s="85"/>
      <c r="L21" s="96"/>
      <c r="M21" s="96"/>
      <c r="N21" s="96"/>
      <c r="O21" s="166"/>
      <c r="P21" s="166"/>
      <c r="Q21" s="166"/>
      <c r="R21" s="166"/>
      <c r="S21" s="166"/>
      <c r="T21" s="166"/>
    </row>
    <row r="22" spans="1:20" x14ac:dyDescent="0.25">
      <c r="A22" t="s">
        <v>30</v>
      </c>
      <c r="B22" s="104">
        <v>20</v>
      </c>
      <c r="C22" s="6" t="s">
        <v>64</v>
      </c>
      <c r="D22" s="41" t="s">
        <v>49</v>
      </c>
      <c r="E22" s="106">
        <f>(B5/30)*0.3</f>
        <v>1.5</v>
      </c>
      <c r="F22" s="6" t="s">
        <v>65</v>
      </c>
      <c r="G22" s="41"/>
      <c r="H22" s="5"/>
      <c r="I22" s="13" t="s">
        <v>6</v>
      </c>
      <c r="J22" s="104">
        <f>B22*E22</f>
        <v>30</v>
      </c>
      <c r="K22" s="22"/>
      <c r="L22" s="166"/>
      <c r="M22" s="96"/>
      <c r="N22" s="96"/>
      <c r="O22" s="166"/>
      <c r="P22" s="166"/>
      <c r="Q22" s="166"/>
      <c r="R22" s="166"/>
      <c r="S22" s="166"/>
      <c r="T22" s="166"/>
    </row>
    <row r="23" spans="1:20" x14ac:dyDescent="0.25">
      <c r="A23" t="s">
        <v>31</v>
      </c>
      <c r="B23" s="1"/>
      <c r="C23" s="6"/>
      <c r="D23" s="41"/>
      <c r="E23" s="3"/>
      <c r="F23" s="6"/>
      <c r="G23" s="41"/>
      <c r="H23" s="5"/>
      <c r="I23" s="13"/>
      <c r="J23" s="116">
        <f>ROUND(7*J5,0)</f>
        <v>13</v>
      </c>
      <c r="K23" s="22"/>
      <c r="L23" s="166"/>
      <c r="M23" s="96"/>
      <c r="N23" s="96"/>
      <c r="O23" s="166"/>
      <c r="P23" s="166"/>
      <c r="Q23" s="166"/>
      <c r="R23" s="166"/>
      <c r="S23" s="166"/>
      <c r="T23" s="166"/>
    </row>
    <row r="24" spans="1:20" x14ac:dyDescent="0.25">
      <c r="A24" t="s">
        <v>52</v>
      </c>
      <c r="B24" s="1"/>
      <c r="C24" s="6"/>
      <c r="D24" s="41"/>
      <c r="E24" s="3"/>
      <c r="F24" s="6"/>
      <c r="G24" s="41"/>
      <c r="H24" s="5"/>
      <c r="I24" s="13"/>
      <c r="J24" s="116">
        <f>ROUND(5*J5,0)</f>
        <v>9</v>
      </c>
      <c r="K24" s="22"/>
      <c r="L24" s="166"/>
      <c r="M24" s="96"/>
      <c r="N24" s="96"/>
      <c r="O24" s="166"/>
      <c r="P24" s="166"/>
      <c r="Q24" s="166"/>
      <c r="R24" s="166"/>
      <c r="S24" s="166"/>
      <c r="T24" s="166"/>
    </row>
    <row r="25" spans="1:20" x14ac:dyDescent="0.25">
      <c r="A25" t="s">
        <v>32</v>
      </c>
      <c r="B25" s="1"/>
      <c r="C25" s="6"/>
      <c r="D25" s="41"/>
      <c r="E25" s="3"/>
      <c r="F25" s="6"/>
      <c r="G25" s="41"/>
      <c r="H25" s="5"/>
      <c r="I25" s="13"/>
      <c r="J25" s="116">
        <f>ROUND(3*J5,0)</f>
        <v>6</v>
      </c>
      <c r="K25" s="22"/>
      <c r="L25" s="166"/>
      <c r="M25" s="96"/>
      <c r="N25" s="96"/>
      <c r="O25" s="166"/>
      <c r="P25" s="166"/>
      <c r="Q25" s="166"/>
      <c r="R25" s="166"/>
      <c r="S25" s="166"/>
      <c r="T25" s="166"/>
    </row>
    <row r="26" spans="1:20" x14ac:dyDescent="0.25">
      <c r="A26" t="s">
        <v>66</v>
      </c>
      <c r="B26" s="1"/>
      <c r="C26" s="6"/>
      <c r="D26" s="41"/>
      <c r="E26" s="3"/>
      <c r="F26" s="6"/>
      <c r="G26" s="41"/>
      <c r="H26" s="5"/>
      <c r="I26" s="13"/>
      <c r="J26" s="116">
        <f>ROUND(4*J5,0)</f>
        <v>8</v>
      </c>
      <c r="K26" s="22"/>
      <c r="L26" s="166"/>
      <c r="M26" s="96"/>
      <c r="N26" s="96"/>
      <c r="O26" s="166"/>
      <c r="P26" s="166"/>
      <c r="Q26" s="166"/>
      <c r="R26" s="166"/>
      <c r="S26" s="166"/>
      <c r="T26" s="166"/>
    </row>
    <row r="27" spans="1:20" x14ac:dyDescent="0.25">
      <c r="A27" t="s">
        <v>114</v>
      </c>
      <c r="B27" s="1"/>
      <c r="C27" s="6"/>
      <c r="D27" s="111"/>
      <c r="E27" s="3"/>
      <c r="F27" s="6"/>
      <c r="G27" s="111"/>
      <c r="H27" s="5"/>
      <c r="I27" s="13"/>
      <c r="J27" s="116">
        <f>ROUND(4.6*J5,0)</f>
        <v>9</v>
      </c>
      <c r="K27" s="22"/>
      <c r="L27" s="166"/>
      <c r="M27" s="96"/>
      <c r="N27" s="96"/>
      <c r="O27" s="166"/>
      <c r="P27" s="166"/>
      <c r="Q27" s="166"/>
      <c r="R27" s="166"/>
      <c r="S27" s="166"/>
      <c r="T27" s="166"/>
    </row>
    <row r="28" spans="1:20" x14ac:dyDescent="0.25">
      <c r="A28" s="14" t="s">
        <v>33</v>
      </c>
      <c r="B28" s="14"/>
      <c r="C28" s="37"/>
      <c r="D28" s="15"/>
      <c r="E28" s="38"/>
      <c r="F28" s="37"/>
      <c r="G28" s="15"/>
      <c r="H28" s="39"/>
      <c r="I28" s="40"/>
      <c r="J28" s="117">
        <f>ROUND(1.25*J5,0)</f>
        <v>2</v>
      </c>
      <c r="K28" s="22"/>
      <c r="L28" s="166"/>
      <c r="M28" s="96"/>
      <c r="N28" s="96"/>
      <c r="O28" s="166"/>
      <c r="P28" s="166"/>
      <c r="Q28" s="166"/>
      <c r="R28" s="166"/>
      <c r="S28" s="166"/>
      <c r="T28" s="166"/>
    </row>
    <row r="29" spans="1:20" x14ac:dyDescent="0.25">
      <c r="A29" s="8" t="s">
        <v>12</v>
      </c>
      <c r="D29" s="41"/>
      <c r="G29" s="41"/>
      <c r="I29" s="41"/>
      <c r="J29" s="9">
        <f>SUM(J16:J28)</f>
        <v>401.375</v>
      </c>
      <c r="K29" s="22"/>
      <c r="L29" s="166"/>
      <c r="M29" s="96"/>
      <c r="N29" s="96"/>
      <c r="O29" s="166"/>
      <c r="P29" s="166"/>
      <c r="Q29" s="166"/>
      <c r="R29" s="166"/>
      <c r="S29" s="166"/>
      <c r="T29" s="166"/>
    </row>
    <row r="30" spans="1:20" x14ac:dyDescent="0.25">
      <c r="D30" s="41"/>
      <c r="G30" s="41"/>
      <c r="I30" s="41"/>
      <c r="K30" s="22"/>
      <c r="L30" s="166"/>
      <c r="M30" s="96"/>
      <c r="N30" s="96"/>
      <c r="O30" s="166"/>
      <c r="P30" s="166"/>
      <c r="Q30" s="166"/>
      <c r="R30" s="166"/>
      <c r="S30" s="166"/>
      <c r="T30" s="166"/>
    </row>
    <row r="31" spans="1:20" x14ac:dyDescent="0.25">
      <c r="A31" s="16" t="s">
        <v>9</v>
      </c>
      <c r="B31" s="14"/>
      <c r="C31" s="14"/>
      <c r="D31" s="15"/>
      <c r="E31" s="14"/>
      <c r="F31" s="14"/>
      <c r="G31" s="15"/>
      <c r="H31" s="14"/>
      <c r="I31" s="15"/>
      <c r="J31" s="14"/>
      <c r="K31" s="22"/>
      <c r="L31" s="166"/>
      <c r="M31" s="96"/>
      <c r="N31" s="96"/>
      <c r="O31" s="166"/>
      <c r="P31" s="166"/>
      <c r="Q31" s="166"/>
      <c r="R31" s="166"/>
      <c r="S31" s="166"/>
      <c r="T31" s="166"/>
    </row>
    <row r="32" spans="1:20" x14ac:dyDescent="0.25">
      <c r="A32" t="s">
        <v>34</v>
      </c>
      <c r="D32" s="41"/>
      <c r="G32" s="41"/>
      <c r="I32" s="41"/>
      <c r="J32" s="104">
        <v>6</v>
      </c>
      <c r="K32" s="22"/>
      <c r="L32" s="166"/>
      <c r="M32" s="96"/>
      <c r="N32" s="96"/>
      <c r="O32" s="166"/>
      <c r="P32" s="166"/>
      <c r="Q32" s="166"/>
      <c r="R32" s="166"/>
      <c r="S32" s="166"/>
      <c r="T32" s="166"/>
    </row>
    <row r="33" spans="1:20" x14ac:dyDescent="0.25">
      <c r="A33" t="s">
        <v>70</v>
      </c>
      <c r="D33" s="41"/>
      <c r="G33" s="41"/>
      <c r="I33" s="41"/>
      <c r="J33" s="104">
        <v>1</v>
      </c>
      <c r="K33" s="22"/>
      <c r="L33" s="166"/>
      <c r="M33" s="96"/>
      <c r="N33" s="96"/>
      <c r="O33" s="166"/>
      <c r="P33" s="166"/>
      <c r="Q33" s="166"/>
      <c r="R33" s="166"/>
      <c r="S33" s="166"/>
      <c r="T33" s="166"/>
    </row>
    <row r="34" spans="1:20" x14ac:dyDescent="0.25">
      <c r="A34" t="s">
        <v>68</v>
      </c>
      <c r="D34" s="41"/>
      <c r="G34" s="41"/>
      <c r="I34" s="41"/>
      <c r="J34" s="104">
        <v>1.5</v>
      </c>
      <c r="K34" s="22"/>
      <c r="L34" s="166"/>
      <c r="M34" s="96"/>
      <c r="N34" s="96"/>
      <c r="O34" s="166"/>
      <c r="P34" s="166"/>
      <c r="Q34" s="166"/>
      <c r="R34" s="166"/>
      <c r="S34" s="166"/>
      <c r="T34" s="166"/>
    </row>
    <row r="35" spans="1:20" x14ac:dyDescent="0.25">
      <c r="A35" s="29" t="s">
        <v>67</v>
      </c>
      <c r="B35" s="29"/>
      <c r="C35" s="29"/>
      <c r="D35" s="30"/>
      <c r="E35" s="29"/>
      <c r="F35" s="29"/>
      <c r="G35" s="30"/>
      <c r="H35" s="29"/>
      <c r="I35" s="30"/>
      <c r="J35" s="108">
        <v>22</v>
      </c>
      <c r="K35" s="22"/>
      <c r="L35" s="166"/>
      <c r="M35" s="96"/>
      <c r="N35" s="96"/>
      <c r="O35" s="166"/>
      <c r="P35" s="166"/>
      <c r="Q35" s="166"/>
      <c r="R35" s="166"/>
      <c r="S35" s="166"/>
      <c r="T35" s="166"/>
    </row>
    <row r="36" spans="1:20" x14ac:dyDescent="0.25">
      <c r="A36" s="50" t="s">
        <v>77</v>
      </c>
      <c r="B36" s="29"/>
      <c r="C36" s="29"/>
      <c r="D36" s="30"/>
      <c r="E36" s="29"/>
      <c r="F36" s="29"/>
      <c r="G36" s="30"/>
      <c r="H36" s="29"/>
      <c r="I36" s="30"/>
      <c r="J36" s="108">
        <v>0</v>
      </c>
      <c r="K36" s="22"/>
      <c r="L36" s="166"/>
      <c r="M36" s="96"/>
      <c r="N36" s="96"/>
      <c r="O36" s="166"/>
      <c r="P36" s="166"/>
      <c r="Q36" s="166"/>
      <c r="R36" s="166"/>
      <c r="S36" s="166"/>
      <c r="T36" s="166"/>
    </row>
    <row r="37" spans="1:20" x14ac:dyDescent="0.25">
      <c r="A37" s="53" t="s">
        <v>10</v>
      </c>
      <c r="B37" s="54"/>
      <c r="C37" s="54"/>
      <c r="D37" s="52"/>
      <c r="E37" s="54"/>
      <c r="F37" s="54"/>
      <c r="G37" s="52"/>
      <c r="H37" s="54"/>
      <c r="I37" s="52"/>
      <c r="J37" s="55">
        <f>SUM(J32:J36)</f>
        <v>30.5</v>
      </c>
      <c r="K37" s="22"/>
      <c r="L37" s="96"/>
      <c r="M37" s="96"/>
      <c r="N37" s="96"/>
      <c r="O37" s="166"/>
      <c r="P37" s="166"/>
      <c r="Q37" s="166"/>
      <c r="R37" s="166"/>
      <c r="S37" s="166"/>
      <c r="T37" s="166"/>
    </row>
    <row r="38" spans="1:20" x14ac:dyDescent="0.25">
      <c r="D38" s="41"/>
      <c r="G38" s="41"/>
      <c r="I38" s="41"/>
      <c r="K38" s="22"/>
      <c r="L38" s="96"/>
      <c r="M38" s="96"/>
      <c r="N38" s="96"/>
      <c r="O38" s="166"/>
      <c r="P38" s="166"/>
      <c r="Q38" s="166"/>
      <c r="R38" s="166"/>
      <c r="S38" s="166"/>
      <c r="T38" s="166"/>
    </row>
    <row r="39" spans="1:20" ht="15" customHeight="1" x14ac:dyDescent="0.25">
      <c r="A39" s="16" t="s">
        <v>11</v>
      </c>
      <c r="B39" s="14"/>
      <c r="C39" s="14"/>
      <c r="D39" s="15"/>
      <c r="E39" s="14"/>
      <c r="F39" s="14"/>
      <c r="G39" s="15"/>
      <c r="H39" s="14"/>
      <c r="I39" s="15"/>
      <c r="J39" s="17">
        <f>J29+J37</f>
        <v>431.875</v>
      </c>
      <c r="K39" s="85"/>
      <c r="L39" s="167"/>
      <c r="M39" s="167"/>
      <c r="N39" s="96"/>
      <c r="O39" s="166"/>
      <c r="P39" s="166"/>
      <c r="Q39" s="166"/>
      <c r="R39" s="166"/>
      <c r="S39" s="166"/>
      <c r="T39" s="166"/>
    </row>
    <row r="40" spans="1:20" x14ac:dyDescent="0.25">
      <c r="A40" s="28"/>
      <c r="B40" s="29"/>
      <c r="C40" s="29"/>
      <c r="D40" s="30"/>
      <c r="E40" s="29"/>
      <c r="F40" s="29"/>
      <c r="G40" s="30"/>
      <c r="H40" s="29"/>
      <c r="I40" s="30"/>
      <c r="J40" s="18"/>
      <c r="K40" s="22"/>
      <c r="L40" s="96"/>
      <c r="M40" s="96"/>
      <c r="N40" s="96"/>
      <c r="O40" s="166"/>
      <c r="P40" s="166"/>
      <c r="Q40" s="166"/>
      <c r="R40" s="166"/>
      <c r="S40" s="166"/>
      <c r="T40" s="166"/>
    </row>
    <row r="41" spans="1:20" x14ac:dyDescent="0.25">
      <c r="A41" t="s">
        <v>35</v>
      </c>
      <c r="D41" s="41"/>
      <c r="G41" s="41"/>
      <c r="I41" s="41"/>
      <c r="J41" s="4">
        <f>J13-J29</f>
        <v>-317.10131250000001</v>
      </c>
      <c r="L41" s="166"/>
      <c r="M41" s="166"/>
      <c r="N41" s="166"/>
      <c r="O41" s="166"/>
      <c r="P41" s="166"/>
      <c r="Q41" s="166"/>
      <c r="R41" s="166"/>
      <c r="S41" s="166"/>
      <c r="T41" s="166"/>
    </row>
    <row r="42" spans="1:20" ht="15.75" thickBot="1" x14ac:dyDescent="0.3">
      <c r="A42" s="2" t="s">
        <v>13</v>
      </c>
      <c r="D42" s="41"/>
      <c r="G42" s="41"/>
      <c r="I42" s="41"/>
      <c r="J42" s="24">
        <f>J13-J39</f>
        <v>-347.60131250000001</v>
      </c>
      <c r="L42" s="166"/>
      <c r="M42" s="166"/>
      <c r="N42" s="166"/>
      <c r="O42" s="166"/>
      <c r="P42" s="166"/>
      <c r="Q42" s="166"/>
      <c r="R42" s="166"/>
      <c r="S42" s="166"/>
      <c r="T42" s="166"/>
    </row>
    <row r="43" spans="1:20" ht="105" customHeight="1" thickTop="1" x14ac:dyDescent="0.25">
      <c r="A43" s="28"/>
      <c r="B43" s="29"/>
      <c r="C43" s="29"/>
      <c r="D43" s="58"/>
      <c r="E43" s="29"/>
      <c r="F43" s="29"/>
      <c r="G43" s="58"/>
      <c r="H43" s="29"/>
      <c r="I43" s="58"/>
      <c r="J43" s="18"/>
      <c r="L43" s="166"/>
      <c r="M43" s="166"/>
      <c r="N43" s="166"/>
      <c r="O43" s="166"/>
      <c r="P43" s="166"/>
      <c r="Q43" s="166"/>
      <c r="R43" s="166"/>
      <c r="S43" s="166"/>
      <c r="T43" s="166"/>
    </row>
    <row r="44" spans="1:20" ht="15" customHeight="1" x14ac:dyDescent="0.25">
      <c r="A44" s="197" t="s">
        <v>45</v>
      </c>
      <c r="B44" s="198"/>
      <c r="C44" s="198"/>
      <c r="D44" s="198"/>
      <c r="E44" s="198"/>
      <c r="F44" s="198"/>
      <c r="G44" s="198"/>
      <c r="H44" s="198"/>
      <c r="I44" s="198"/>
      <c r="J44" s="198"/>
      <c r="L44" s="166"/>
      <c r="M44" s="166"/>
      <c r="N44" s="166"/>
      <c r="O44" s="166"/>
      <c r="P44" s="166"/>
      <c r="Q44" s="166"/>
      <c r="R44" s="166"/>
      <c r="S44" s="166"/>
      <c r="T44" s="166"/>
    </row>
    <row r="45" spans="1:20" ht="15.75" x14ac:dyDescent="0.25">
      <c r="A45" s="32" t="s">
        <v>94</v>
      </c>
      <c r="B45" s="32"/>
      <c r="C45" s="32"/>
      <c r="D45" s="32"/>
      <c r="E45" s="32"/>
      <c r="F45" s="32"/>
      <c r="G45" s="32"/>
      <c r="H45" s="32"/>
      <c r="I45" s="32"/>
      <c r="J45" s="32" t="str">
        <f>TEXT(Introduction!L8,"MMM. DD, YYYY")</f>
        <v>Version- 12.27.2021</v>
      </c>
      <c r="L45" s="166"/>
      <c r="M45" s="166"/>
      <c r="N45" s="166"/>
      <c r="O45" s="166"/>
      <c r="P45" s="166"/>
      <c r="Q45" s="166"/>
      <c r="R45" s="166"/>
      <c r="S45" s="166"/>
      <c r="T45" s="166"/>
    </row>
    <row r="46" spans="1:20" x14ac:dyDescent="0.25">
      <c r="B46" s="36"/>
    </row>
    <row r="47" spans="1:20" ht="19.5" thickBot="1" x14ac:dyDescent="0.35">
      <c r="A47" s="199" t="s">
        <v>93</v>
      </c>
      <c r="B47" s="200"/>
      <c r="C47" s="201"/>
      <c r="D47" s="201"/>
      <c r="E47" s="201"/>
      <c r="F47" s="201"/>
      <c r="G47" s="202"/>
      <c r="H47" s="202"/>
      <c r="I47" s="202"/>
      <c r="J47" s="202"/>
    </row>
    <row r="90" spans="1:10" ht="93" customHeight="1" x14ac:dyDescent="0.25"/>
    <row r="91" spans="1:10" x14ac:dyDescent="0.25">
      <c r="A91" s="197" t="s">
        <v>45</v>
      </c>
      <c r="B91" s="198"/>
      <c r="C91" s="198"/>
      <c r="D91" s="198"/>
      <c r="E91" s="198"/>
      <c r="F91" s="198"/>
      <c r="G91" s="198"/>
      <c r="H91" s="198"/>
      <c r="I91" s="198"/>
      <c r="J91" s="198"/>
    </row>
    <row r="92" spans="1:10" ht="15.75" x14ac:dyDescent="0.25">
      <c r="A92" s="32" t="s">
        <v>94</v>
      </c>
      <c r="B92" s="32"/>
      <c r="C92" s="32"/>
      <c r="D92" s="32"/>
      <c r="E92" s="32"/>
      <c r="F92" s="32"/>
      <c r="G92" s="32"/>
      <c r="H92" s="32"/>
      <c r="I92" s="32"/>
      <c r="J92" s="32" t="str">
        <f>J45</f>
        <v>Version- 12.27.2021</v>
      </c>
    </row>
    <row r="93" spans="1:10" ht="15.75" x14ac:dyDescent="0.25">
      <c r="A93" s="62"/>
      <c r="B93" s="62"/>
      <c r="C93" s="62"/>
      <c r="D93" s="62"/>
      <c r="E93" s="62"/>
      <c r="F93" s="62"/>
      <c r="G93" s="62"/>
      <c r="H93" s="62"/>
      <c r="I93" s="62"/>
      <c r="J93" s="62"/>
    </row>
    <row r="94" spans="1:10" ht="19.5" thickBot="1" x14ac:dyDescent="0.35">
      <c r="A94" s="199" t="s">
        <v>93</v>
      </c>
      <c r="B94" s="200"/>
      <c r="C94" s="201"/>
      <c r="D94" s="201"/>
      <c r="E94" s="201"/>
      <c r="F94" s="201"/>
      <c r="G94" s="202"/>
      <c r="H94" s="202"/>
      <c r="I94" s="202"/>
      <c r="J94" s="202"/>
    </row>
    <row r="95" spans="1:10" ht="15.75" x14ac:dyDescent="0.25">
      <c r="A95" s="63" t="s">
        <v>91</v>
      </c>
    </row>
    <row r="97" spans="1:5" ht="15.75" thickBot="1" x14ac:dyDescent="0.3">
      <c r="A97" s="48" t="s">
        <v>96</v>
      </c>
      <c r="B97" s="47" t="s">
        <v>73</v>
      </c>
      <c r="C97" s="47"/>
      <c r="D97" s="47"/>
      <c r="E97" s="47"/>
    </row>
    <row r="98" spans="1:5" x14ac:dyDescent="0.25">
      <c r="A98" s="28"/>
      <c r="B98" s="16" t="s">
        <v>17</v>
      </c>
      <c r="C98" s="16" t="s">
        <v>3</v>
      </c>
    </row>
    <row r="99" spans="1:5" x14ac:dyDescent="0.25">
      <c r="A99" t="s">
        <v>23</v>
      </c>
      <c r="B99" s="46">
        <f>Feed!C20</f>
        <v>0</v>
      </c>
      <c r="C99" s="6" t="s">
        <v>84</v>
      </c>
      <c r="D99" s="6"/>
    </row>
    <row r="100" spans="1:5" x14ac:dyDescent="0.25">
      <c r="A100" t="s">
        <v>25</v>
      </c>
      <c r="B100" s="46">
        <f>Feed!C21</f>
        <v>0</v>
      </c>
      <c r="C100" s="6" t="s">
        <v>84</v>
      </c>
      <c r="D100" s="6"/>
    </row>
    <row r="101" spans="1:5" x14ac:dyDescent="0.25">
      <c r="A101" s="44" t="s">
        <v>109</v>
      </c>
      <c r="B101" s="57">
        <f>Feed!C22</f>
        <v>3.5</v>
      </c>
      <c r="C101" s="6" t="s">
        <v>57</v>
      </c>
      <c r="D101" s="6"/>
    </row>
    <row r="102" spans="1:5" x14ac:dyDescent="0.25">
      <c r="A102" s="44" t="s">
        <v>82</v>
      </c>
      <c r="B102" s="57">
        <f>Feed!C23</f>
        <v>0</v>
      </c>
      <c r="C102" s="6" t="s">
        <v>57</v>
      </c>
      <c r="D102" s="6"/>
    </row>
    <row r="103" spans="1:5" x14ac:dyDescent="0.25">
      <c r="A103" s="44" t="s">
        <v>55</v>
      </c>
      <c r="B103" s="57">
        <f>Feed!C24</f>
        <v>3.5</v>
      </c>
      <c r="C103" s="6" t="s">
        <v>57</v>
      </c>
      <c r="D103" s="6"/>
    </row>
    <row r="104" spans="1:5" x14ac:dyDescent="0.25">
      <c r="A104" t="s">
        <v>81</v>
      </c>
      <c r="B104" s="57">
        <f>Feed!C25</f>
        <v>7</v>
      </c>
      <c r="C104" s="6" t="s">
        <v>57</v>
      </c>
      <c r="D104" s="6"/>
    </row>
    <row r="105" spans="1:5" x14ac:dyDescent="0.25">
      <c r="A105" s="44" t="s">
        <v>58</v>
      </c>
      <c r="B105" s="57">
        <f>Feed!C26</f>
        <v>7</v>
      </c>
      <c r="C105" s="6" t="s">
        <v>57</v>
      </c>
      <c r="D105" s="6"/>
    </row>
    <row r="106" spans="1:5" x14ac:dyDescent="0.25">
      <c r="A106" s="44" t="s">
        <v>59</v>
      </c>
      <c r="B106" s="57">
        <f>Feed!C27</f>
        <v>7</v>
      </c>
      <c r="C106" s="6" t="s">
        <v>57</v>
      </c>
      <c r="D106" s="6"/>
    </row>
    <row r="107" spans="1:5" x14ac:dyDescent="0.25">
      <c r="A107" s="44" t="s">
        <v>60</v>
      </c>
      <c r="B107" s="57">
        <f>Feed!C28</f>
        <v>0</v>
      </c>
      <c r="C107" s="6" t="s">
        <v>57</v>
      </c>
      <c r="D107" s="6"/>
    </row>
    <row r="108" spans="1:5" x14ac:dyDescent="0.25">
      <c r="A108" t="s">
        <v>80</v>
      </c>
      <c r="B108" s="57">
        <f>Feed!C29</f>
        <v>14</v>
      </c>
      <c r="C108" s="6" t="s">
        <v>57</v>
      </c>
      <c r="D108" s="45"/>
    </row>
    <row r="109" spans="1:5" x14ac:dyDescent="0.25">
      <c r="A109" t="s">
        <v>43</v>
      </c>
      <c r="B109" s="67">
        <f>Feed!C30</f>
        <v>0.3</v>
      </c>
      <c r="C109" s="6" t="s">
        <v>57</v>
      </c>
    </row>
    <row r="114" spans="1:6" ht="15.75" thickBot="1" x14ac:dyDescent="0.3">
      <c r="A114" s="48" t="s">
        <v>111</v>
      </c>
      <c r="B114" s="47"/>
      <c r="C114" s="47"/>
      <c r="D114" s="47"/>
      <c r="E114" s="29"/>
      <c r="F114" s="29"/>
    </row>
    <row r="115" spans="1:6" ht="24" customHeight="1" x14ac:dyDescent="0.25">
      <c r="A115" s="59"/>
      <c r="B115" s="173" t="str">
        <f>Prices!A1</f>
        <v>2022 Production Year</v>
      </c>
      <c r="C115" s="209" t="s">
        <v>92</v>
      </c>
      <c r="D115" s="209"/>
    </row>
    <row r="116" spans="1:6" x14ac:dyDescent="0.25">
      <c r="A116" t="str">
        <f>Prices!A5</f>
        <v>Corn ($/bu)</v>
      </c>
      <c r="B116" s="60">
        <f>Prices!B5</f>
        <v>6.16</v>
      </c>
      <c r="C116" s="204">
        <f>Prices!C5</f>
        <v>3.55</v>
      </c>
      <c r="D116" s="205"/>
    </row>
    <row r="117" spans="1:6" x14ac:dyDescent="0.25">
      <c r="A117" t="str">
        <f>Prices!A6</f>
        <v>Soybean Meal ($/ton)</v>
      </c>
      <c r="B117" s="60">
        <f>Prices!B6</f>
        <v>384.9</v>
      </c>
      <c r="C117" s="204">
        <f>Prices!C6</f>
        <v>341</v>
      </c>
      <c r="D117" s="205"/>
    </row>
    <row r="118" spans="1:6" x14ac:dyDescent="0.25">
      <c r="A118" t="str">
        <f>Prices!A7</f>
        <v>DDGS ($/ton)</v>
      </c>
      <c r="B118" s="60">
        <f>Prices!B7</f>
        <v>235</v>
      </c>
      <c r="C118" s="204">
        <f>Prices!C7</f>
        <v>135.43019480519482</v>
      </c>
      <c r="D118" s="205"/>
    </row>
    <row r="119" spans="1:6" x14ac:dyDescent="0.25">
      <c r="A119" t="str">
        <f>Prices!A9</f>
        <v>Silage ($/ton)</v>
      </c>
      <c r="B119" s="60">
        <f>Prices!B9</f>
        <v>49.28</v>
      </c>
      <c r="C119" s="204">
        <f>Prices!C9</f>
        <v>28.4</v>
      </c>
      <c r="D119" s="205"/>
    </row>
    <row r="120" spans="1:6" x14ac:dyDescent="0.25">
      <c r="A120" t="str">
        <f>Prices!A10</f>
        <v>Prairie Hay ($/ton)</v>
      </c>
      <c r="B120" s="60">
        <f>Prices!B10</f>
        <v>125</v>
      </c>
      <c r="C120" s="204">
        <f>Prices!C10</f>
        <v>72.037337662337663</v>
      </c>
      <c r="D120" s="205"/>
    </row>
    <row r="121" spans="1:6" x14ac:dyDescent="0.25">
      <c r="A121" t="str">
        <f>Prices!A11</f>
        <v>Alfalfa ($/ton)</v>
      </c>
      <c r="B121" s="60">
        <f>Prices!B11</f>
        <v>145</v>
      </c>
      <c r="C121" s="204">
        <f>Prices!C11</f>
        <v>83.563311688311686</v>
      </c>
      <c r="D121" s="205"/>
    </row>
    <row r="122" spans="1:6" x14ac:dyDescent="0.25">
      <c r="A122" t="str">
        <f>Prices!A15</f>
        <v>Other Beef Mineral ($/ton)</v>
      </c>
      <c r="B122" s="60">
        <f>Prices!B15</f>
        <v>650</v>
      </c>
      <c r="C122" s="204">
        <f>Prices!C15</f>
        <v>715.00000000000011</v>
      </c>
      <c r="D122" s="205"/>
    </row>
    <row r="123" spans="1:6" x14ac:dyDescent="0.25">
      <c r="A123" t="str">
        <f>Prices!A18</f>
        <v>Oct. Steer Calves Price ($/cwt)*</v>
      </c>
      <c r="B123" s="60">
        <f>Prices!B18</f>
        <v>201.13</v>
      </c>
      <c r="C123" s="204">
        <f>Prices!C18</f>
        <v>159.44</v>
      </c>
      <c r="D123" s="204"/>
      <c r="E123" s="61"/>
      <c r="F123" s="58"/>
    </row>
    <row r="124" spans="1:6" x14ac:dyDescent="0.25">
      <c r="A124" t="str">
        <f>Prices!A23</f>
        <v>One-Year-Out March Feeder Steers ($/cwt)******</v>
      </c>
      <c r="B124" s="60">
        <f>Prices!B23</f>
        <v>164.38</v>
      </c>
      <c r="C124" s="204">
        <f>Prices!C23</f>
        <v>145</v>
      </c>
      <c r="D124" s="204"/>
      <c r="E124" s="120"/>
      <c r="F124" s="121"/>
    </row>
    <row r="125" spans="1:6" x14ac:dyDescent="0.25">
      <c r="B125" s="60"/>
      <c r="C125" s="120"/>
      <c r="D125" s="121"/>
      <c r="E125" s="120"/>
      <c r="F125" s="121"/>
    </row>
    <row r="126" spans="1:6" ht="15" customHeight="1" x14ac:dyDescent="0.25">
      <c r="A126" t="str">
        <f>Prices!A25</f>
        <v>* This a predicted October price for the budget year</v>
      </c>
      <c r="B126" s="60"/>
      <c r="C126" s="61"/>
      <c r="D126" s="58"/>
      <c r="E126" s="61"/>
      <c r="F126" s="58"/>
    </row>
    <row r="127" spans="1:6" x14ac:dyDescent="0.25">
      <c r="A127" t="str">
        <f>Prices!A29</f>
        <v>******This is a predicted one-year-out March feeder steer price used in the backgrounding budget</v>
      </c>
      <c r="B127" s="60"/>
      <c r="C127" s="61"/>
      <c r="D127" s="58"/>
      <c r="E127" s="61"/>
      <c r="F127" s="58"/>
    </row>
    <row r="128" spans="1:6" ht="60" customHeight="1" x14ac:dyDescent="0.25">
      <c r="B128" s="60"/>
      <c r="C128" s="61"/>
      <c r="D128" s="58"/>
      <c r="E128" s="61"/>
      <c r="F128" s="58"/>
    </row>
    <row r="129" spans="1:10" ht="87" customHeight="1" x14ac:dyDescent="0.25">
      <c r="B129" s="60"/>
      <c r="C129" s="120"/>
      <c r="D129" s="121"/>
      <c r="E129" s="120"/>
      <c r="F129" s="121"/>
    </row>
    <row r="130" spans="1:10" x14ac:dyDescent="0.25">
      <c r="B130" s="60"/>
      <c r="C130" s="61"/>
      <c r="D130" s="58"/>
      <c r="E130" s="61"/>
      <c r="F130" s="58"/>
    </row>
    <row r="131" spans="1:10" x14ac:dyDescent="0.25">
      <c r="A131" s="197" t="s">
        <v>45</v>
      </c>
      <c r="B131" s="198"/>
      <c r="C131" s="198"/>
      <c r="D131" s="198"/>
      <c r="E131" s="198"/>
      <c r="F131" s="198"/>
      <c r="G131" s="198"/>
      <c r="H131" s="198"/>
      <c r="I131" s="198"/>
      <c r="J131" s="198"/>
    </row>
    <row r="132" spans="1:10" ht="15.75" x14ac:dyDescent="0.25">
      <c r="A132" s="32" t="s">
        <v>94</v>
      </c>
      <c r="B132" s="32"/>
      <c r="C132" s="32"/>
      <c r="D132" s="32"/>
      <c r="E132" s="32"/>
      <c r="F132" s="32"/>
      <c r="G132" s="32"/>
      <c r="H132" s="32"/>
      <c r="I132" s="32"/>
      <c r="J132" s="32" t="str">
        <f>J92</f>
        <v>Version- 12.27.2021</v>
      </c>
    </row>
  </sheetData>
  <sheetProtection algorithmName="SHA-512" hashValue="mTwgTG0ozIaj40bKPkTHl1FlkX3LDP0lnlQnfTyveAvc3mfakPvD446nmLLopdv/IHcliU0++GdtSFns4nsjXA==" saltValue="MsuDxxf0GldGeDi37zIEVw==" spinCount="100000" sheet="1" objects="1" scenarios="1"/>
  <mergeCells count="25">
    <mergeCell ref="L2:T2"/>
    <mergeCell ref="A131:J131"/>
    <mergeCell ref="C6:E6"/>
    <mergeCell ref="C123:D123"/>
    <mergeCell ref="C122:D122"/>
    <mergeCell ref="C120:D120"/>
    <mergeCell ref="C121:D121"/>
    <mergeCell ref="C124:D124"/>
    <mergeCell ref="C118:D118"/>
    <mergeCell ref="C119:D119"/>
    <mergeCell ref="C117:D117"/>
    <mergeCell ref="C115:D115"/>
    <mergeCell ref="C116:D116"/>
    <mergeCell ref="A47:B47"/>
    <mergeCell ref="C47:F47"/>
    <mergeCell ref="G47:J47"/>
    <mergeCell ref="A91:J91"/>
    <mergeCell ref="A94:B94"/>
    <mergeCell ref="C94:F94"/>
    <mergeCell ref="G94:J94"/>
    <mergeCell ref="A1:B1"/>
    <mergeCell ref="C1:F1"/>
    <mergeCell ref="G1:J1"/>
    <mergeCell ref="C5:E5"/>
    <mergeCell ref="A44:J44"/>
  </mergeCells>
  <dataValidations count="1">
    <dataValidation type="list" showInputMessage="1" showErrorMessage="1" prompt="Select a price horizon to budget from" sqref="C1">
      <formula1>price_selections</formula1>
    </dataValidation>
  </dataValidations>
  <pageMargins left="0.5" right="0.5" top="0.75" bottom="0.5" header="0.3" footer="0"/>
  <pageSetup scale="90" orientation="portrait" horizontalDpi="4294967295" verticalDpi="4294967295" r:id="rId1"/>
  <headerFooter>
    <oddHeader>&amp;L&amp;"-,Bold"&amp;20FARM MANAGEMENT GUIDE</oddHeader>
  </headerFooter>
  <rowBreaks count="2" manualBreakCount="2">
    <brk id="46" max="9" man="1"/>
    <brk id="93"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PrintBackgroungingBudget">
                <anchor moveWithCells="1" sizeWithCells="1">
                  <from>
                    <xdr:col>11</xdr:col>
                    <xdr:colOff>9525</xdr:colOff>
                    <xdr:row>2</xdr:row>
                    <xdr:rowOff>180975</xdr:rowOff>
                  </from>
                  <to>
                    <xdr:col>14</xdr:col>
                    <xdr:colOff>581025</xdr:colOff>
                    <xdr:row>4</xdr:row>
                    <xdr:rowOff>133350</xdr:rowOff>
                  </to>
                </anchor>
              </controlPr>
            </control>
          </mc:Choice>
        </mc:AlternateContent>
        <mc:AlternateContent xmlns:mc="http://schemas.openxmlformats.org/markup-compatibility/2006">
          <mc:Choice Requires="x14">
            <control shapeId="12290" r:id="rId5" name="Button 2">
              <controlPr defaultSize="0" print="0" autoFill="0" autoPict="0" macro="[0]!PrintBackgroundingPage">
                <anchor moveWithCells="1" sizeWithCells="1">
                  <from>
                    <xdr:col>11</xdr:col>
                    <xdr:colOff>9525</xdr:colOff>
                    <xdr:row>5</xdr:row>
                    <xdr:rowOff>171450</xdr:rowOff>
                  </from>
                  <to>
                    <xdr:col>14</xdr:col>
                    <xdr:colOff>590550</xdr:colOff>
                    <xdr:row>7</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T134"/>
  <sheetViews>
    <sheetView zoomScale="110" zoomScaleNormal="110" workbookViewId="0">
      <selection activeCell="A12" sqref="A12"/>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8" width="4.42578125" customWidth="1"/>
    <col min="9" max="9" width="7.42578125" customWidth="1"/>
    <col min="10" max="10" width="14.7109375" customWidth="1"/>
  </cols>
  <sheetData>
    <row r="1" spans="1:20" ht="22.5" customHeight="1" x14ac:dyDescent="0.25">
      <c r="A1" s="193" t="s">
        <v>69</v>
      </c>
      <c r="B1" s="194"/>
      <c r="C1" s="195" t="str">
        <f>Prices!A1</f>
        <v>2022 Production Year</v>
      </c>
      <c r="D1" s="195"/>
      <c r="E1" s="195"/>
      <c r="F1" s="195"/>
      <c r="G1" s="210" t="str">
        <f>IF(C1=Prices!B3,TEXT(Prices!B4,"MMM-YYYY"),TEXT(Prices!C4,"MMM-YYYY"))</f>
        <v>(as of Dec. 21st, 2021)</v>
      </c>
      <c r="H1" s="210"/>
      <c r="I1" s="210"/>
      <c r="J1" s="210"/>
      <c r="K1" s="69"/>
      <c r="L1" s="22"/>
      <c r="M1" s="22"/>
      <c r="N1" s="22"/>
    </row>
    <row r="2" spans="1:20" ht="17.25" customHeight="1" x14ac:dyDescent="0.25">
      <c r="A2" s="20"/>
      <c r="B2" s="21"/>
      <c r="C2" s="22"/>
      <c r="D2" s="23"/>
      <c r="E2" s="22"/>
      <c r="F2" s="22"/>
      <c r="G2" s="23"/>
      <c r="H2" s="22"/>
      <c r="I2" s="23"/>
      <c r="J2" s="22"/>
      <c r="K2" s="22"/>
      <c r="L2" s="208" t="s">
        <v>143</v>
      </c>
      <c r="M2" s="208"/>
      <c r="N2" s="208"/>
      <c r="O2" s="208"/>
      <c r="P2" s="208"/>
      <c r="Q2" s="208"/>
      <c r="R2" s="208"/>
      <c r="S2" s="208"/>
      <c r="T2" s="208"/>
    </row>
    <row r="3" spans="1:20" x14ac:dyDescent="0.25">
      <c r="A3" s="11" t="s">
        <v>1</v>
      </c>
      <c r="D3" s="41"/>
      <c r="G3" s="41"/>
      <c r="I3" s="41"/>
      <c r="K3" s="22"/>
      <c r="L3" s="96"/>
      <c r="M3" s="96"/>
      <c r="N3" s="96"/>
      <c r="O3" s="166"/>
      <c r="P3" s="166"/>
      <c r="Q3" s="166"/>
      <c r="R3" s="166"/>
      <c r="S3" s="166"/>
    </row>
    <row r="4" spans="1:20" x14ac:dyDescent="0.25">
      <c r="A4" t="s">
        <v>51</v>
      </c>
      <c r="B4" s="103">
        <v>0.01</v>
      </c>
      <c r="D4" s="41"/>
      <c r="F4" s="43"/>
      <c r="G4" s="41"/>
      <c r="I4" s="212" t="s">
        <v>102</v>
      </c>
      <c r="J4" s="212"/>
      <c r="K4" s="22"/>
      <c r="L4" s="96"/>
      <c r="M4" s="96"/>
      <c r="N4" s="96"/>
      <c r="O4" s="166"/>
      <c r="P4" s="166"/>
      <c r="Q4" s="166"/>
      <c r="R4" s="166"/>
      <c r="S4" s="166"/>
    </row>
    <row r="5" spans="1:20" x14ac:dyDescent="0.25">
      <c r="A5" t="s">
        <v>107</v>
      </c>
      <c r="B5" s="106">
        <v>120</v>
      </c>
      <c r="C5" s="211" t="s">
        <v>53</v>
      </c>
      <c r="D5" s="211"/>
      <c r="E5" s="211"/>
      <c r="F5" s="109">
        <v>1.25</v>
      </c>
      <c r="G5" s="41"/>
      <c r="I5" s="41"/>
      <c r="J5" s="71">
        <f>(E9-E10)/100</f>
        <v>1.5</v>
      </c>
      <c r="K5" s="22"/>
      <c r="L5" s="96"/>
      <c r="M5" s="96"/>
      <c r="N5" s="96"/>
      <c r="O5" s="166"/>
      <c r="P5" s="166"/>
      <c r="Q5" s="166"/>
      <c r="R5" s="166"/>
      <c r="S5" s="166"/>
    </row>
    <row r="6" spans="1:20" x14ac:dyDescent="0.25">
      <c r="B6" s="3"/>
      <c r="C6" s="211"/>
      <c r="D6" s="211"/>
      <c r="E6" s="211"/>
      <c r="F6" s="49"/>
      <c r="G6" s="66"/>
      <c r="I6" s="66"/>
      <c r="K6" s="22"/>
      <c r="L6" s="96"/>
      <c r="M6" s="96"/>
      <c r="N6" s="96"/>
      <c r="O6" s="166"/>
      <c r="P6" s="166"/>
      <c r="Q6" s="166"/>
      <c r="R6" s="166"/>
      <c r="S6" s="166"/>
    </row>
    <row r="7" spans="1:20" x14ac:dyDescent="0.25">
      <c r="D7" s="41"/>
      <c r="G7" s="41"/>
      <c r="I7" s="41"/>
      <c r="K7" s="22"/>
      <c r="L7" s="96"/>
      <c r="M7" s="96"/>
      <c r="N7" s="96"/>
      <c r="O7" s="166"/>
      <c r="P7" s="166"/>
      <c r="Q7" s="166"/>
      <c r="R7" s="166"/>
      <c r="S7" s="166"/>
    </row>
    <row r="8" spans="1:20" x14ac:dyDescent="0.25">
      <c r="A8" s="16" t="s">
        <v>71</v>
      </c>
      <c r="B8" s="16" t="s">
        <v>2</v>
      </c>
      <c r="C8" s="16" t="s">
        <v>3</v>
      </c>
      <c r="D8" s="16"/>
      <c r="E8" s="16" t="s">
        <v>17</v>
      </c>
      <c r="F8" s="16" t="s">
        <v>3</v>
      </c>
      <c r="G8" s="16"/>
      <c r="H8" s="16"/>
      <c r="I8" s="16"/>
      <c r="J8" s="16" t="s">
        <v>19</v>
      </c>
      <c r="K8" s="22"/>
      <c r="L8" s="96"/>
      <c r="M8" s="96"/>
      <c r="N8" s="96"/>
      <c r="O8" s="166"/>
      <c r="P8" s="166"/>
      <c r="Q8" s="166"/>
      <c r="R8" s="166"/>
      <c r="S8" s="166"/>
    </row>
    <row r="9" spans="1:20" x14ac:dyDescent="0.25">
      <c r="A9" t="s">
        <v>48</v>
      </c>
      <c r="B9" s="113">
        <f>IF(C1=Prices!A1,Prices!B20,Prices!C20)+((E9-888)*-0.0842)</f>
        <v>178.0421</v>
      </c>
      <c r="C9" s="6" t="s">
        <v>44</v>
      </c>
      <c r="D9" s="41" t="s">
        <v>49</v>
      </c>
      <c r="E9" s="115">
        <f>E10+(B5*F5)</f>
        <v>887.5</v>
      </c>
      <c r="F9" s="6" t="s">
        <v>4</v>
      </c>
      <c r="G9" s="41"/>
      <c r="H9" s="5"/>
      <c r="I9" s="13" t="s">
        <v>6</v>
      </c>
      <c r="J9" s="4">
        <f>B9*(E9/100)</f>
        <v>1580.1236375000001</v>
      </c>
      <c r="K9" s="22"/>
      <c r="L9" s="96"/>
      <c r="M9" s="96"/>
      <c r="N9" s="96"/>
      <c r="O9" s="166"/>
      <c r="P9" s="166"/>
      <c r="Q9" s="166"/>
      <c r="R9" s="170"/>
      <c r="S9" s="166"/>
    </row>
    <row r="10" spans="1:20" x14ac:dyDescent="0.25">
      <c r="A10" t="s">
        <v>47</v>
      </c>
      <c r="B10" s="113">
        <f>IF(C1=Prices!A1,Prices!B19,Prices!C19)+((E10-750)*-0.0842)</f>
        <v>165.4325</v>
      </c>
      <c r="C10" s="6" t="s">
        <v>44</v>
      </c>
      <c r="D10" s="41" t="s">
        <v>49</v>
      </c>
      <c r="E10" s="105">
        <f>Backgrounding!E9</f>
        <v>737.5</v>
      </c>
      <c r="F10" s="6" t="s">
        <v>4</v>
      </c>
      <c r="G10" s="41"/>
      <c r="H10" s="5"/>
      <c r="I10" s="13" t="s">
        <v>50</v>
      </c>
      <c r="J10" s="4">
        <f>-(B10*(E10/100))</f>
        <v>-1220.0646875</v>
      </c>
      <c r="K10" s="22"/>
      <c r="L10" s="96"/>
      <c r="M10" s="96"/>
      <c r="N10" s="96"/>
      <c r="O10" s="166"/>
      <c r="P10" s="166"/>
      <c r="Q10" s="166"/>
      <c r="R10" s="168"/>
      <c r="S10" s="168"/>
    </row>
    <row r="11" spans="1:20" x14ac:dyDescent="0.25">
      <c r="A11" t="s">
        <v>51</v>
      </c>
      <c r="B11" s="1"/>
      <c r="C11" s="6"/>
      <c r="D11" s="41"/>
      <c r="E11" s="31"/>
      <c r="F11" s="6"/>
      <c r="G11" s="41"/>
      <c r="H11" s="5"/>
      <c r="I11" s="13"/>
      <c r="J11" s="4">
        <f>(B4*J10)</f>
        <v>-12.200646875</v>
      </c>
      <c r="K11" s="22"/>
      <c r="L11" s="96"/>
      <c r="M11" s="96"/>
      <c r="N11" s="96"/>
      <c r="O11" s="166"/>
      <c r="P11" s="166"/>
      <c r="Q11" s="166"/>
      <c r="R11" s="166"/>
      <c r="S11" s="166"/>
    </row>
    <row r="12" spans="1:20" x14ac:dyDescent="0.25">
      <c r="A12" t="s">
        <v>22</v>
      </c>
      <c r="B12" s="1"/>
      <c r="C12" s="6"/>
      <c r="D12" s="41"/>
      <c r="E12" s="3"/>
      <c r="F12" s="6"/>
      <c r="G12" s="41"/>
      <c r="H12" s="5"/>
      <c r="I12" s="13"/>
      <c r="J12" s="1"/>
      <c r="K12" s="22"/>
      <c r="L12" s="96"/>
      <c r="M12" s="96"/>
      <c r="N12" s="96"/>
      <c r="O12" s="166"/>
      <c r="P12" s="166"/>
      <c r="Q12" s="166"/>
      <c r="R12" s="166"/>
      <c r="S12" s="166"/>
    </row>
    <row r="13" spans="1:20" x14ac:dyDescent="0.25">
      <c r="A13" s="19" t="s">
        <v>72</v>
      </c>
      <c r="B13" s="14"/>
      <c r="C13" s="14"/>
      <c r="D13" s="15"/>
      <c r="E13" s="14"/>
      <c r="F13" s="14"/>
      <c r="G13" s="15"/>
      <c r="H13" s="14"/>
      <c r="I13" s="15"/>
      <c r="J13" s="17">
        <f>SUM(J9:J12)</f>
        <v>347.85830312500008</v>
      </c>
      <c r="K13" s="22"/>
      <c r="L13" s="96"/>
      <c r="M13" s="96"/>
      <c r="N13" s="96"/>
      <c r="O13" s="166"/>
      <c r="P13" s="166"/>
      <c r="Q13" s="166"/>
      <c r="R13" s="166"/>
      <c r="S13" s="166"/>
    </row>
    <row r="14" spans="1:20" x14ac:dyDescent="0.25">
      <c r="A14" s="8"/>
      <c r="D14" s="41"/>
      <c r="G14" s="41"/>
      <c r="I14" s="41"/>
      <c r="K14" s="22"/>
      <c r="L14" s="96"/>
      <c r="M14" s="96"/>
      <c r="N14" s="96"/>
      <c r="O14" s="166"/>
      <c r="P14" s="166"/>
      <c r="Q14" s="166"/>
      <c r="R14" s="166"/>
      <c r="S14" s="166"/>
    </row>
    <row r="15" spans="1:20" x14ac:dyDescent="0.25">
      <c r="A15" s="16" t="s">
        <v>8</v>
      </c>
      <c r="B15" s="14"/>
      <c r="C15" s="14"/>
      <c r="D15" s="15"/>
      <c r="E15" s="14"/>
      <c r="F15" s="14"/>
      <c r="G15" s="15"/>
      <c r="H15" s="14"/>
      <c r="I15" s="15"/>
      <c r="J15" s="14"/>
      <c r="K15" s="22"/>
      <c r="L15" s="96"/>
      <c r="M15" s="96"/>
      <c r="N15" s="96"/>
      <c r="O15" s="166"/>
      <c r="P15" s="166"/>
      <c r="Q15" s="166"/>
      <c r="R15" s="166"/>
      <c r="S15" s="166"/>
    </row>
    <row r="16" spans="1:20" x14ac:dyDescent="0.25">
      <c r="A16" t="s">
        <v>23</v>
      </c>
      <c r="B16" s="113">
        <f>IF(C1=Prices!A1, Prices!B12,Prices!C12)</f>
        <v>20.5</v>
      </c>
      <c r="C16" s="6" t="s">
        <v>26</v>
      </c>
      <c r="D16" s="41" t="s">
        <v>49</v>
      </c>
      <c r="E16" s="46">
        <f>Feed!I5</f>
        <v>2.5</v>
      </c>
      <c r="F16" s="6" t="s">
        <v>74</v>
      </c>
      <c r="G16" s="41"/>
      <c r="H16" s="5"/>
      <c r="I16" s="13" t="s">
        <v>6</v>
      </c>
      <c r="J16" s="113">
        <f>B16*E16</f>
        <v>51.25</v>
      </c>
      <c r="K16" s="22"/>
      <c r="L16" s="96"/>
      <c r="M16" s="96"/>
      <c r="N16" s="96"/>
      <c r="O16" s="166"/>
      <c r="P16" s="166"/>
      <c r="Q16" s="166"/>
      <c r="R16" s="166"/>
      <c r="S16" s="166"/>
    </row>
    <row r="17" spans="1:19" x14ac:dyDescent="0.25">
      <c r="A17" t="s">
        <v>25</v>
      </c>
      <c r="B17" s="113">
        <f>IF(C1=Prices!A1, Prices!B13,Prices!C13)</f>
        <v>16</v>
      </c>
      <c r="C17" s="6" t="s">
        <v>26</v>
      </c>
      <c r="D17" s="41" t="s">
        <v>49</v>
      </c>
      <c r="E17" s="46">
        <f>Feed!I6</f>
        <v>0</v>
      </c>
      <c r="F17" s="6" t="s">
        <v>74</v>
      </c>
      <c r="G17" s="41"/>
      <c r="H17" s="5"/>
      <c r="I17" s="13" t="s">
        <v>6</v>
      </c>
      <c r="J17" s="113">
        <f t="shared" ref="J17" si="0">B17*E17</f>
        <v>0</v>
      </c>
      <c r="K17" s="22"/>
      <c r="L17" s="96"/>
      <c r="M17" s="96"/>
      <c r="N17" s="96"/>
      <c r="O17" s="166"/>
      <c r="P17" s="166"/>
      <c r="Q17" s="166"/>
      <c r="R17" s="166"/>
      <c r="S17" s="166"/>
    </row>
    <row r="18" spans="1:19" x14ac:dyDescent="0.25">
      <c r="A18" t="s">
        <v>24</v>
      </c>
      <c r="B18" s="113">
        <f>IF(Feed!I10&gt;0,(IF(C1=Prices!A1,(((Feed!I7/Feed!I10)*Prices!B10)+((Feed!I8/Feed!I10)*Prices!B9)+((Feed!I9/Feed!I10)*Prices!B11)),((Feed!I7/Feed!I10)*Prices!C10)+((Feed!I8/Feed!I10)*Prices!C9)+((Feed!I9/Feed!I10)*Prices!C11))),0)</f>
        <v>0</v>
      </c>
      <c r="C18" s="6" t="s">
        <v>27</v>
      </c>
      <c r="D18" s="41" t="s">
        <v>49</v>
      </c>
      <c r="E18" s="42">
        <f>Feed!I10</f>
        <v>0</v>
      </c>
      <c r="F18" s="6" t="s">
        <v>75</v>
      </c>
      <c r="G18" s="41"/>
      <c r="H18" s="5"/>
      <c r="I18" s="13" t="s">
        <v>6</v>
      </c>
      <c r="J18" s="113">
        <f>B18*E18</f>
        <v>0</v>
      </c>
      <c r="K18" s="22"/>
      <c r="L18" s="96"/>
      <c r="M18" s="96"/>
      <c r="N18" s="96"/>
      <c r="O18" s="166"/>
      <c r="P18" s="166"/>
      <c r="Q18" s="166"/>
      <c r="R18" s="166"/>
      <c r="S18" s="166"/>
    </row>
    <row r="19" spans="1:19" x14ac:dyDescent="0.25">
      <c r="A19" s="26" t="s">
        <v>29</v>
      </c>
      <c r="B19" s="113">
        <f>IF(Feed!I14&gt;0,(IF(C1=Prices!A1,(((Feed!I13/Feed!I14)*Prices!B6)+((Feed!I12/Feed!I14)*Prices!B7)+((Feed!I11/Feed!I14)*(Prices!B5*2000)/56)),(((Feed!I13/Feed!I14)*Prices!C6)+((Feed!I12/Feed!I14)*Prices!C7)+((Feed!I11/Feed!I14)*(Prices!C5*2000)/56)))),0)</f>
        <v>0</v>
      </c>
      <c r="C19" s="6" t="s">
        <v>27</v>
      </c>
      <c r="D19" s="41" t="s">
        <v>49</v>
      </c>
      <c r="E19" s="42">
        <f>Feed!I14</f>
        <v>0</v>
      </c>
      <c r="F19" s="6" t="s">
        <v>76</v>
      </c>
      <c r="G19" s="41"/>
      <c r="H19" s="5"/>
      <c r="I19" s="13" t="s">
        <v>6</v>
      </c>
      <c r="J19" s="113">
        <f>(B19/2000)*E19</f>
        <v>0</v>
      </c>
      <c r="K19" s="22"/>
      <c r="L19" s="96"/>
      <c r="M19" s="96"/>
      <c r="N19" s="96"/>
      <c r="O19" s="166"/>
      <c r="P19" s="166"/>
      <c r="Q19" s="166"/>
      <c r="R19" s="166"/>
      <c r="S19" s="166"/>
    </row>
    <row r="20" spans="1:19" x14ac:dyDescent="0.25">
      <c r="A20" t="s">
        <v>28</v>
      </c>
      <c r="B20" s="113">
        <f>IF(C1=Prices!A1,Prices!B15,Prices!C15)</f>
        <v>650</v>
      </c>
      <c r="C20" s="6" t="s">
        <v>27</v>
      </c>
      <c r="D20" s="41" t="s">
        <v>49</v>
      </c>
      <c r="E20" s="46">
        <f>Feed!I15</f>
        <v>12</v>
      </c>
      <c r="F20" s="6" t="s">
        <v>76</v>
      </c>
      <c r="G20" s="41"/>
      <c r="H20" s="5"/>
      <c r="I20" s="13" t="s">
        <v>6</v>
      </c>
      <c r="J20" s="113">
        <f>(B20/2000)*E20</f>
        <v>3.9000000000000004</v>
      </c>
      <c r="K20" s="22"/>
      <c r="L20" s="96"/>
      <c r="M20" s="96"/>
      <c r="N20" s="96"/>
      <c r="O20" s="166"/>
      <c r="P20" s="166"/>
      <c r="Q20" s="166"/>
      <c r="R20" s="166"/>
      <c r="S20" s="166"/>
    </row>
    <row r="21" spans="1:19" x14ac:dyDescent="0.25">
      <c r="A21" t="s">
        <v>116</v>
      </c>
      <c r="B21" s="104">
        <v>0</v>
      </c>
      <c r="C21" s="6" t="s">
        <v>117</v>
      </c>
      <c r="D21" s="112" t="s">
        <v>49</v>
      </c>
      <c r="E21" s="106">
        <v>0</v>
      </c>
      <c r="F21" s="6" t="s">
        <v>118</v>
      </c>
      <c r="G21" s="112"/>
      <c r="H21" s="5"/>
      <c r="I21" s="13" t="s">
        <v>50</v>
      </c>
      <c r="J21" s="104">
        <f>B21*E21</f>
        <v>0</v>
      </c>
      <c r="K21" s="22"/>
      <c r="L21" s="96"/>
      <c r="M21" s="96"/>
      <c r="N21" s="96"/>
      <c r="O21" s="166"/>
      <c r="P21" s="166"/>
      <c r="Q21" s="166"/>
      <c r="R21" s="166"/>
      <c r="S21" s="166"/>
    </row>
    <row r="22" spans="1:19" x14ac:dyDescent="0.25">
      <c r="A22" t="s">
        <v>30</v>
      </c>
      <c r="B22" s="104">
        <v>20</v>
      </c>
      <c r="C22" s="6" t="s">
        <v>64</v>
      </c>
      <c r="D22" s="41" t="s">
        <v>49</v>
      </c>
      <c r="E22" s="106">
        <f>0.2*(B5/30)</f>
        <v>0.8</v>
      </c>
      <c r="F22" s="6" t="s">
        <v>65</v>
      </c>
      <c r="G22" s="41"/>
      <c r="H22" s="5"/>
      <c r="I22" s="13" t="s">
        <v>6</v>
      </c>
      <c r="J22" s="104">
        <f>B22*E22</f>
        <v>16</v>
      </c>
      <c r="K22" s="22"/>
      <c r="L22" s="96"/>
      <c r="M22" s="96"/>
      <c r="N22" s="96"/>
      <c r="O22" s="166"/>
      <c r="P22" s="166"/>
      <c r="Q22" s="166"/>
      <c r="R22" s="166"/>
      <c r="S22" s="166"/>
    </row>
    <row r="23" spans="1:19" x14ac:dyDescent="0.25">
      <c r="A23" t="s">
        <v>31</v>
      </c>
      <c r="B23" s="1"/>
      <c r="C23" s="6"/>
      <c r="D23" s="41"/>
      <c r="E23" s="3"/>
      <c r="F23" s="6"/>
      <c r="G23" s="41"/>
      <c r="H23" s="5"/>
      <c r="I23" s="13"/>
      <c r="J23" s="116">
        <f>ROUND(4*J5,0)</f>
        <v>6</v>
      </c>
      <c r="K23" s="22"/>
      <c r="L23" s="96"/>
      <c r="M23" s="96"/>
      <c r="N23" s="96"/>
      <c r="O23" s="166"/>
      <c r="P23" s="166"/>
      <c r="Q23" s="166"/>
      <c r="R23" s="166"/>
      <c r="S23" s="166"/>
    </row>
    <row r="24" spans="1:19" x14ac:dyDescent="0.25">
      <c r="A24" t="s">
        <v>52</v>
      </c>
      <c r="B24" s="1"/>
      <c r="C24" s="6"/>
      <c r="D24" s="41"/>
      <c r="E24" s="3"/>
      <c r="F24" s="6"/>
      <c r="G24" s="41"/>
      <c r="H24" s="5"/>
      <c r="I24" s="13"/>
      <c r="J24" s="116">
        <v>9</v>
      </c>
      <c r="K24" s="22"/>
      <c r="L24" s="96"/>
      <c r="M24" s="96"/>
      <c r="N24" s="96"/>
      <c r="O24" s="166"/>
      <c r="P24" s="166"/>
      <c r="Q24" s="166"/>
      <c r="R24" s="166"/>
      <c r="S24" s="166"/>
    </row>
    <row r="25" spans="1:19" x14ac:dyDescent="0.25">
      <c r="A25" t="s">
        <v>32</v>
      </c>
      <c r="B25" s="1"/>
      <c r="C25" s="6"/>
      <c r="D25" s="41"/>
      <c r="E25" s="3"/>
      <c r="F25" s="6"/>
      <c r="G25" s="41"/>
      <c r="H25" s="5"/>
      <c r="I25" s="13"/>
      <c r="J25" s="116">
        <f>ROUND(3*J5,0)</f>
        <v>5</v>
      </c>
      <c r="K25" s="22"/>
      <c r="L25" s="96"/>
      <c r="M25" s="96"/>
      <c r="N25" s="96"/>
      <c r="O25" s="166"/>
      <c r="P25" s="166"/>
      <c r="Q25" s="166"/>
      <c r="R25" s="166"/>
      <c r="S25" s="166"/>
    </row>
    <row r="26" spans="1:19" x14ac:dyDescent="0.25">
      <c r="A26" t="s">
        <v>66</v>
      </c>
      <c r="B26" s="1"/>
      <c r="C26" s="6"/>
      <c r="D26" s="41"/>
      <c r="E26" s="3"/>
      <c r="F26" s="6"/>
      <c r="G26" s="41"/>
      <c r="H26" s="5"/>
      <c r="I26" s="13"/>
      <c r="J26" s="116">
        <f>ROUND(4.5*J5,0)</f>
        <v>7</v>
      </c>
      <c r="K26" s="22"/>
      <c r="L26" s="96"/>
      <c r="M26" s="96"/>
      <c r="N26" s="96"/>
      <c r="O26" s="166"/>
      <c r="P26" s="166"/>
      <c r="Q26" s="166"/>
      <c r="R26" s="166"/>
      <c r="S26" s="166"/>
    </row>
    <row r="27" spans="1:19" x14ac:dyDescent="0.25">
      <c r="A27" t="s">
        <v>114</v>
      </c>
      <c r="B27" s="1"/>
      <c r="C27" s="6"/>
      <c r="D27" s="111"/>
      <c r="E27" s="3"/>
      <c r="F27" s="6"/>
      <c r="G27" s="111"/>
      <c r="H27" s="5"/>
      <c r="I27" s="13"/>
      <c r="J27" s="116">
        <f>ROUND(4*J5,0)</f>
        <v>6</v>
      </c>
      <c r="K27" s="22"/>
      <c r="L27" s="96"/>
      <c r="M27" s="96"/>
      <c r="N27" s="96"/>
      <c r="O27" s="166"/>
      <c r="P27" s="166"/>
      <c r="Q27" s="166"/>
      <c r="R27" s="166"/>
      <c r="S27" s="166"/>
    </row>
    <row r="28" spans="1:19" x14ac:dyDescent="0.25">
      <c r="A28" s="14" t="s">
        <v>33</v>
      </c>
      <c r="B28" s="14"/>
      <c r="C28" s="37"/>
      <c r="D28" s="15"/>
      <c r="E28" s="38"/>
      <c r="F28" s="37"/>
      <c r="G28" s="15"/>
      <c r="H28" s="39"/>
      <c r="I28" s="40"/>
      <c r="J28" s="117">
        <f>ROUND(1*J5,0)</f>
        <v>2</v>
      </c>
      <c r="K28" s="22"/>
      <c r="L28" s="96"/>
      <c r="M28" s="96"/>
      <c r="N28" s="96"/>
      <c r="O28" s="166"/>
      <c r="P28" s="166"/>
      <c r="Q28" s="166"/>
      <c r="R28" s="166"/>
      <c r="S28" s="166"/>
    </row>
    <row r="29" spans="1:19" x14ac:dyDescent="0.25">
      <c r="A29" s="8" t="s">
        <v>12</v>
      </c>
      <c r="D29" s="41"/>
      <c r="G29" s="41"/>
      <c r="I29" s="41"/>
      <c r="J29" s="9">
        <f>SUM(J16:J28)</f>
        <v>106.15</v>
      </c>
      <c r="K29" s="22"/>
      <c r="L29" s="96"/>
      <c r="M29" s="96"/>
      <c r="N29" s="96"/>
      <c r="O29" s="166"/>
      <c r="P29" s="166"/>
      <c r="Q29" s="166"/>
      <c r="R29" s="166"/>
      <c r="S29" s="166"/>
    </row>
    <row r="30" spans="1:19" x14ac:dyDescent="0.25">
      <c r="D30" s="41"/>
      <c r="G30" s="41"/>
      <c r="I30" s="41"/>
      <c r="K30" s="22"/>
      <c r="L30" s="96"/>
      <c r="M30" s="96"/>
      <c r="N30" s="96"/>
      <c r="O30" s="166"/>
      <c r="P30" s="166"/>
      <c r="Q30" s="166"/>
      <c r="R30" s="166"/>
      <c r="S30" s="166"/>
    </row>
    <row r="31" spans="1:19" x14ac:dyDescent="0.25">
      <c r="A31" s="16" t="s">
        <v>9</v>
      </c>
      <c r="B31" s="14"/>
      <c r="C31" s="14"/>
      <c r="D31" s="15"/>
      <c r="E31" s="14"/>
      <c r="F31" s="14"/>
      <c r="G31" s="15"/>
      <c r="H31" s="14"/>
      <c r="I31" s="15"/>
      <c r="J31" s="14"/>
      <c r="K31" s="22"/>
      <c r="L31" s="96"/>
      <c r="M31" s="96"/>
      <c r="N31" s="96"/>
      <c r="O31" s="166"/>
      <c r="P31" s="166"/>
      <c r="Q31" s="166"/>
      <c r="R31" s="166"/>
      <c r="S31" s="166"/>
    </row>
    <row r="32" spans="1:19" x14ac:dyDescent="0.25">
      <c r="A32" t="s">
        <v>34</v>
      </c>
      <c r="D32" s="41"/>
      <c r="G32" s="41"/>
      <c r="I32" s="41"/>
      <c r="J32" s="104">
        <v>5</v>
      </c>
      <c r="K32" s="22"/>
      <c r="L32" s="96"/>
      <c r="M32" s="96"/>
      <c r="N32" s="96"/>
      <c r="O32" s="166"/>
      <c r="P32" s="166"/>
      <c r="Q32" s="166"/>
      <c r="R32" s="166"/>
      <c r="S32" s="166"/>
    </row>
    <row r="33" spans="1:19" x14ac:dyDescent="0.25">
      <c r="A33" t="s">
        <v>70</v>
      </c>
      <c r="D33" s="41"/>
      <c r="G33" s="41"/>
      <c r="I33" s="41"/>
      <c r="J33" s="104">
        <v>1</v>
      </c>
      <c r="K33" s="22"/>
      <c r="L33" s="96"/>
      <c r="M33" s="96"/>
      <c r="N33" s="96"/>
      <c r="O33" s="166"/>
      <c r="P33" s="166"/>
      <c r="Q33" s="166"/>
      <c r="R33" s="166"/>
      <c r="S33" s="166"/>
    </row>
    <row r="34" spans="1:19" x14ac:dyDescent="0.25">
      <c r="A34" t="s">
        <v>68</v>
      </c>
      <c r="D34" s="41"/>
      <c r="G34" s="41"/>
      <c r="I34" s="41"/>
      <c r="J34" s="104">
        <v>1</v>
      </c>
      <c r="K34" s="22"/>
      <c r="L34" s="96"/>
      <c r="M34" s="96"/>
      <c r="N34" s="96"/>
      <c r="O34" s="166"/>
      <c r="P34" s="166"/>
      <c r="Q34" s="166"/>
      <c r="R34" s="166"/>
      <c r="S34" s="166"/>
    </row>
    <row r="35" spans="1:19" x14ac:dyDescent="0.25">
      <c r="A35" s="29" t="s">
        <v>67</v>
      </c>
      <c r="B35" s="29"/>
      <c r="C35" s="29"/>
      <c r="D35" s="30"/>
      <c r="E35" s="29"/>
      <c r="F35" s="29"/>
      <c r="G35" s="30"/>
      <c r="H35" s="29"/>
      <c r="I35" s="30"/>
      <c r="J35" s="108">
        <v>15</v>
      </c>
      <c r="K35" s="22"/>
      <c r="L35" s="96"/>
      <c r="M35" s="96"/>
      <c r="N35" s="96"/>
      <c r="O35" s="166"/>
      <c r="P35" s="166"/>
      <c r="Q35" s="166"/>
      <c r="R35" s="166"/>
      <c r="S35" s="166"/>
    </row>
    <row r="36" spans="1:19" x14ac:dyDescent="0.25">
      <c r="A36" s="51" t="s">
        <v>77</v>
      </c>
      <c r="B36" s="14"/>
      <c r="C36" s="14"/>
      <c r="D36" s="15"/>
      <c r="E36" s="14"/>
      <c r="F36" s="14"/>
      <c r="G36" s="15"/>
      <c r="H36" s="14"/>
      <c r="I36" s="15"/>
      <c r="J36" s="107">
        <v>0</v>
      </c>
      <c r="K36" s="22"/>
      <c r="L36" s="96"/>
      <c r="M36" s="96"/>
      <c r="N36" s="96"/>
      <c r="O36" s="166"/>
      <c r="P36" s="166"/>
      <c r="Q36" s="166"/>
      <c r="R36" s="166"/>
      <c r="S36" s="166"/>
    </row>
    <row r="37" spans="1:19" x14ac:dyDescent="0.25">
      <c r="A37" s="8" t="s">
        <v>10</v>
      </c>
      <c r="D37" s="41"/>
      <c r="G37" s="41"/>
      <c r="I37" s="41"/>
      <c r="J37" s="9">
        <f>SUM(J32:J36)</f>
        <v>22</v>
      </c>
      <c r="K37" s="22"/>
      <c r="L37" s="96"/>
      <c r="M37" s="96"/>
      <c r="N37" s="96"/>
      <c r="O37" s="166"/>
      <c r="P37" s="166"/>
      <c r="Q37" s="166"/>
      <c r="R37" s="166"/>
      <c r="S37" s="166"/>
    </row>
    <row r="38" spans="1:19" x14ac:dyDescent="0.25">
      <c r="D38" s="41"/>
      <c r="G38" s="41"/>
      <c r="I38" s="41"/>
      <c r="K38" s="22"/>
      <c r="L38" s="96"/>
      <c r="M38" s="96"/>
      <c r="N38" s="96"/>
      <c r="O38" s="166"/>
      <c r="P38" s="166"/>
      <c r="Q38" s="166"/>
      <c r="R38" s="166"/>
      <c r="S38" s="166"/>
    </row>
    <row r="39" spans="1:19" ht="15" customHeight="1" x14ac:dyDescent="0.25">
      <c r="A39" s="16" t="s">
        <v>11</v>
      </c>
      <c r="B39" s="14"/>
      <c r="C39" s="14"/>
      <c r="D39" s="15"/>
      <c r="E39" s="14"/>
      <c r="F39" s="14"/>
      <c r="G39" s="15"/>
      <c r="H39" s="14"/>
      <c r="I39" s="15"/>
      <c r="J39" s="17">
        <f>J29+J37</f>
        <v>128.15</v>
      </c>
      <c r="K39" s="85"/>
      <c r="L39" s="96"/>
      <c r="M39" s="96"/>
      <c r="N39" s="96"/>
      <c r="O39" s="166"/>
      <c r="P39" s="166"/>
      <c r="Q39" s="166"/>
      <c r="R39" s="166"/>
      <c r="S39" s="166"/>
    </row>
    <row r="40" spans="1:19" x14ac:dyDescent="0.25">
      <c r="A40" s="28"/>
      <c r="B40" s="29"/>
      <c r="C40" s="29"/>
      <c r="D40" s="30"/>
      <c r="E40" s="29"/>
      <c r="F40" s="29"/>
      <c r="G40" s="30"/>
      <c r="H40" s="29"/>
      <c r="I40" s="30"/>
      <c r="J40" s="18"/>
      <c r="L40" s="166"/>
      <c r="M40" s="166"/>
      <c r="N40" s="166"/>
      <c r="O40" s="166"/>
      <c r="P40" s="166"/>
      <c r="Q40" s="166"/>
      <c r="R40" s="166"/>
      <c r="S40" s="166"/>
    </row>
    <row r="41" spans="1:19" x14ac:dyDescent="0.25">
      <c r="A41" t="s">
        <v>35</v>
      </c>
      <c r="D41" s="41"/>
      <c r="G41" s="41"/>
      <c r="I41" s="41"/>
      <c r="J41" s="4">
        <f>J13-J29</f>
        <v>241.70830312500007</v>
      </c>
      <c r="L41" s="166"/>
      <c r="M41" s="166"/>
      <c r="N41" s="166"/>
      <c r="O41" s="166"/>
      <c r="P41" s="166"/>
      <c r="Q41" s="166"/>
      <c r="R41" s="166"/>
      <c r="S41" s="166"/>
    </row>
    <row r="42" spans="1:19" ht="15.75" thickBot="1" x14ac:dyDescent="0.3">
      <c r="A42" s="2" t="s">
        <v>13</v>
      </c>
      <c r="D42" s="41"/>
      <c r="G42" s="41"/>
      <c r="I42" s="41"/>
      <c r="J42" s="24">
        <f>J13-J39</f>
        <v>219.70830312500007</v>
      </c>
      <c r="L42" s="166"/>
      <c r="M42" s="166"/>
      <c r="N42" s="166"/>
      <c r="O42" s="166"/>
      <c r="P42" s="166"/>
      <c r="Q42" s="166"/>
      <c r="R42" s="166"/>
      <c r="S42" s="166"/>
    </row>
    <row r="43" spans="1:19" ht="31.5" customHeight="1" thickTop="1" x14ac:dyDescent="0.25">
      <c r="A43" s="28"/>
      <c r="B43" s="29"/>
      <c r="C43" s="29"/>
      <c r="D43" s="65"/>
      <c r="E43" s="29"/>
      <c r="F43" s="29"/>
      <c r="G43" s="65"/>
      <c r="H43" s="29"/>
      <c r="I43" s="65"/>
      <c r="J43" s="18"/>
      <c r="L43" s="166"/>
      <c r="M43" s="166"/>
      <c r="N43" s="166"/>
      <c r="O43" s="166"/>
      <c r="P43" s="166"/>
      <c r="Q43" s="166"/>
      <c r="R43" s="166"/>
      <c r="S43" s="166"/>
    </row>
    <row r="44" spans="1:19" ht="15" customHeight="1" x14ac:dyDescent="0.25">
      <c r="A44" s="197" t="s">
        <v>45</v>
      </c>
      <c r="B44" s="198"/>
      <c r="C44" s="198"/>
      <c r="D44" s="198"/>
      <c r="E44" s="198"/>
      <c r="F44" s="198"/>
      <c r="G44" s="198"/>
      <c r="H44" s="198"/>
      <c r="I44" s="198"/>
      <c r="J44" s="198"/>
      <c r="L44" s="166"/>
      <c r="M44" s="166"/>
      <c r="N44" s="166"/>
      <c r="O44" s="166"/>
      <c r="P44" s="166"/>
      <c r="Q44" s="166"/>
      <c r="R44" s="166"/>
      <c r="S44" s="166"/>
    </row>
    <row r="45" spans="1:19" ht="15.75" x14ac:dyDescent="0.25">
      <c r="A45" s="32" t="s">
        <v>99</v>
      </c>
      <c r="B45" s="32"/>
      <c r="C45" s="32"/>
      <c r="D45" s="32"/>
      <c r="E45" s="32"/>
      <c r="F45" s="32"/>
      <c r="G45" s="32"/>
      <c r="H45" s="32"/>
      <c r="I45" s="214" t="str">
        <f>TEXT(Introduction!L8,"MMM. DD, YYYY")</f>
        <v>Version- 12.27.2021</v>
      </c>
      <c r="J45" s="214"/>
    </row>
    <row r="46" spans="1:19" x14ac:dyDescent="0.25">
      <c r="B46" s="36"/>
    </row>
    <row r="47" spans="1:19" ht="19.5" thickBot="1" x14ac:dyDescent="0.35">
      <c r="A47" s="199" t="s">
        <v>69</v>
      </c>
      <c r="B47" s="200"/>
      <c r="C47" s="201"/>
      <c r="D47" s="201"/>
      <c r="E47" s="201"/>
      <c r="F47" s="201"/>
      <c r="G47" s="202"/>
      <c r="H47" s="202"/>
      <c r="I47" s="202"/>
      <c r="J47" s="202"/>
    </row>
    <row r="90" spans="1:10" ht="37.5" customHeight="1" x14ac:dyDescent="0.25"/>
    <row r="91" spans="1:10" x14ac:dyDescent="0.25">
      <c r="A91" s="197" t="s">
        <v>45</v>
      </c>
      <c r="B91" s="198"/>
      <c r="C91" s="198"/>
      <c r="D91" s="198"/>
      <c r="E91" s="198"/>
      <c r="F91" s="198"/>
      <c r="G91" s="198"/>
      <c r="H91" s="198"/>
      <c r="I91" s="198"/>
      <c r="J91" s="198"/>
    </row>
    <row r="92" spans="1:10" ht="15.75" x14ac:dyDescent="0.25">
      <c r="A92" s="32" t="s">
        <v>99</v>
      </c>
      <c r="B92" s="32"/>
      <c r="C92" s="32"/>
      <c r="D92" s="32"/>
      <c r="E92" s="32"/>
      <c r="F92" s="32"/>
      <c r="G92" s="32"/>
      <c r="H92" s="32"/>
      <c r="I92" s="214" t="str">
        <f>I45</f>
        <v>Version- 12.27.2021</v>
      </c>
      <c r="J92" s="214"/>
    </row>
    <row r="93" spans="1:10" ht="0.75" customHeight="1" x14ac:dyDescent="0.25">
      <c r="A93" s="62"/>
      <c r="B93" s="62"/>
      <c r="C93" s="62"/>
      <c r="D93" s="62"/>
      <c r="E93" s="62"/>
      <c r="F93" s="62"/>
      <c r="G93" s="62"/>
      <c r="H93" s="62"/>
      <c r="I93" s="62"/>
      <c r="J93" s="62"/>
    </row>
    <row r="94" spans="1:10" ht="19.5" thickBot="1" x14ac:dyDescent="0.35">
      <c r="A94" s="199" t="s">
        <v>69</v>
      </c>
      <c r="B94" s="200"/>
      <c r="C94" s="201"/>
      <c r="D94" s="201"/>
      <c r="E94" s="201"/>
      <c r="F94" s="201"/>
      <c r="G94" s="202"/>
      <c r="H94" s="202"/>
      <c r="I94" s="202"/>
      <c r="J94" s="202"/>
    </row>
    <row r="95" spans="1:10" ht="15.75" x14ac:dyDescent="0.25">
      <c r="A95" s="63" t="s">
        <v>91</v>
      </c>
    </row>
    <row r="97" spans="1:5" ht="15.75" thickBot="1" x14ac:dyDescent="0.3">
      <c r="A97" s="48" t="s">
        <v>63</v>
      </c>
      <c r="B97" s="47" t="s">
        <v>85</v>
      </c>
      <c r="C97" s="47"/>
      <c r="D97" s="47"/>
      <c r="E97" s="47"/>
    </row>
    <row r="98" spans="1:5" x14ac:dyDescent="0.25">
      <c r="A98" s="2"/>
      <c r="B98" s="16" t="s">
        <v>17</v>
      </c>
      <c r="C98" s="16" t="s">
        <v>3</v>
      </c>
    </row>
    <row r="99" spans="1:5" x14ac:dyDescent="0.25">
      <c r="A99" t="s">
        <v>23</v>
      </c>
      <c r="B99" s="46">
        <f>Feed!I5</f>
        <v>2.5</v>
      </c>
      <c r="C99" s="6" t="s">
        <v>84</v>
      </c>
    </row>
    <row r="100" spans="1:5" x14ac:dyDescent="0.25">
      <c r="A100" t="s">
        <v>25</v>
      </c>
      <c r="B100" s="46">
        <f>Feed!I6</f>
        <v>0</v>
      </c>
      <c r="C100" s="6" t="s">
        <v>84</v>
      </c>
    </row>
    <row r="101" spans="1:5" x14ac:dyDescent="0.25">
      <c r="A101" s="44" t="s">
        <v>109</v>
      </c>
      <c r="B101" s="57">
        <f>Feed!I7</f>
        <v>0</v>
      </c>
      <c r="C101" s="6" t="s">
        <v>106</v>
      </c>
    </row>
    <row r="102" spans="1:5" x14ac:dyDescent="0.25">
      <c r="A102" s="44" t="s">
        <v>82</v>
      </c>
      <c r="B102" s="57">
        <f>Feed!I8</f>
        <v>0</v>
      </c>
      <c r="C102" s="6" t="s">
        <v>106</v>
      </c>
    </row>
    <row r="103" spans="1:5" x14ac:dyDescent="0.25">
      <c r="A103" s="44" t="s">
        <v>55</v>
      </c>
      <c r="B103" s="57">
        <f>Feed!I9</f>
        <v>0</v>
      </c>
      <c r="C103" s="6" t="s">
        <v>106</v>
      </c>
    </row>
    <row r="104" spans="1:5" x14ac:dyDescent="0.25">
      <c r="A104" t="s">
        <v>81</v>
      </c>
      <c r="B104" s="57">
        <f>Feed!I10</f>
        <v>0</v>
      </c>
      <c r="C104" s="6" t="s">
        <v>106</v>
      </c>
    </row>
    <row r="105" spans="1:5" x14ac:dyDescent="0.25">
      <c r="A105" s="44" t="s">
        <v>58</v>
      </c>
      <c r="B105" s="57">
        <f>Feed!I11</f>
        <v>0</v>
      </c>
      <c r="C105" s="6" t="s">
        <v>105</v>
      </c>
    </row>
    <row r="106" spans="1:5" x14ac:dyDescent="0.25">
      <c r="A106" s="44" t="s">
        <v>59</v>
      </c>
      <c r="B106" s="57">
        <f>Feed!I12</f>
        <v>0</v>
      </c>
      <c r="C106" s="6" t="s">
        <v>105</v>
      </c>
    </row>
    <row r="107" spans="1:5" x14ac:dyDescent="0.25">
      <c r="A107" s="44" t="s">
        <v>60</v>
      </c>
      <c r="B107" s="57">
        <f>Feed!I13</f>
        <v>0</v>
      </c>
      <c r="C107" s="6" t="s">
        <v>105</v>
      </c>
    </row>
    <row r="108" spans="1:5" x14ac:dyDescent="0.25">
      <c r="A108" t="s">
        <v>80</v>
      </c>
      <c r="B108" s="57">
        <f>Feed!I14</f>
        <v>0</v>
      </c>
      <c r="C108" s="6" t="s">
        <v>105</v>
      </c>
    </row>
    <row r="109" spans="1:5" x14ac:dyDescent="0.25">
      <c r="A109" t="s">
        <v>43</v>
      </c>
      <c r="B109" s="57">
        <f>Feed!I15</f>
        <v>12</v>
      </c>
      <c r="C109" s="6" t="s">
        <v>105</v>
      </c>
    </row>
    <row r="114" spans="1:6" ht="15.75" thickBot="1" x14ac:dyDescent="0.3">
      <c r="A114" s="48" t="s">
        <v>112</v>
      </c>
      <c r="B114" s="47"/>
      <c r="C114" s="47"/>
      <c r="D114" s="47"/>
      <c r="E114" s="29"/>
      <c r="F114" s="29"/>
    </row>
    <row r="115" spans="1:6" ht="26.45" customHeight="1" x14ac:dyDescent="0.25">
      <c r="A115" s="59"/>
      <c r="B115" s="174" t="str">
        <f>Prices!A1</f>
        <v>2022 Production Year</v>
      </c>
      <c r="C115" s="209" t="s">
        <v>92</v>
      </c>
      <c r="D115" s="209"/>
    </row>
    <row r="116" spans="1:6" x14ac:dyDescent="0.25">
      <c r="A116" t="str">
        <f>Prices!A5</f>
        <v>Corn ($/bu)</v>
      </c>
      <c r="B116" s="60">
        <f>Prices!B5</f>
        <v>6.16</v>
      </c>
      <c r="C116" s="204">
        <f>Prices!C5</f>
        <v>3.55</v>
      </c>
      <c r="D116" s="205"/>
    </row>
    <row r="117" spans="1:6" x14ac:dyDescent="0.25">
      <c r="A117" t="str">
        <f>Prices!A6</f>
        <v>Soybean Meal ($/ton)</v>
      </c>
      <c r="B117" s="60">
        <f>Prices!B6</f>
        <v>384.9</v>
      </c>
      <c r="C117" s="204">
        <f>Prices!C6</f>
        <v>341</v>
      </c>
      <c r="D117" s="205"/>
    </row>
    <row r="118" spans="1:6" x14ac:dyDescent="0.25">
      <c r="A118" t="str">
        <f>Prices!A7</f>
        <v>DDGS ($/ton)</v>
      </c>
      <c r="B118" s="60">
        <f>Prices!B7</f>
        <v>235</v>
      </c>
      <c r="C118" s="204">
        <f>Prices!C7</f>
        <v>135.43019480519482</v>
      </c>
      <c r="D118" s="205"/>
    </row>
    <row r="119" spans="1:6" x14ac:dyDescent="0.25">
      <c r="A119" t="str">
        <f>Prices!A12</f>
        <v>Pasture Rental ($/acre)</v>
      </c>
      <c r="B119" s="60">
        <f>Prices!B12</f>
        <v>20.5</v>
      </c>
      <c r="C119" s="204">
        <f>Prices!C12</f>
        <v>22.55</v>
      </c>
      <c r="D119" s="205"/>
    </row>
    <row r="120" spans="1:6" x14ac:dyDescent="0.25">
      <c r="A120" t="str">
        <f>Prices!A13</f>
        <v>Crop Residue ($/acre)</v>
      </c>
      <c r="B120" s="60">
        <f>Prices!B13</f>
        <v>16</v>
      </c>
      <c r="C120" s="204">
        <f>Prices!C13</f>
        <v>17.600000000000001</v>
      </c>
      <c r="D120" s="205"/>
    </row>
    <row r="121" spans="1:6" x14ac:dyDescent="0.25">
      <c r="A121" t="str">
        <f>Prices!A15</f>
        <v>Other Beef Mineral ($/ton)</v>
      </c>
      <c r="B121" s="60">
        <f>Prices!B15</f>
        <v>650</v>
      </c>
      <c r="C121" s="204">
        <f>Prices!C15</f>
        <v>715.00000000000011</v>
      </c>
      <c r="D121" s="205"/>
    </row>
    <row r="122" spans="1:6" x14ac:dyDescent="0.25">
      <c r="A122" t="str">
        <f>Prices!A19</f>
        <v>March Feeder Steers ($/cwt)**</v>
      </c>
      <c r="B122" s="60">
        <f>Prices!B19</f>
        <v>164.38</v>
      </c>
      <c r="C122" s="213">
        <f>Prices!C19</f>
        <v>145</v>
      </c>
      <c r="D122" s="213"/>
    </row>
    <row r="123" spans="1:6" x14ac:dyDescent="0.25">
      <c r="A123" t="str">
        <f>Prices!A20</f>
        <v>July Feeder Steers ($/cwt)***</v>
      </c>
      <c r="B123" s="60">
        <f>Prices!B20</f>
        <v>178</v>
      </c>
      <c r="C123" s="213">
        <f>Prices!C20</f>
        <v>145</v>
      </c>
      <c r="D123" s="213"/>
    </row>
    <row r="124" spans="1:6" x14ac:dyDescent="0.25">
      <c r="B124" s="60"/>
      <c r="C124" s="204"/>
      <c r="D124" s="205"/>
    </row>
    <row r="125" spans="1:6" x14ac:dyDescent="0.25">
      <c r="A125" t="str">
        <f>Prices!A26</f>
        <v>** This is a predicted price for the production year</v>
      </c>
      <c r="B125" s="60"/>
      <c r="C125" s="64"/>
      <c r="D125" s="65"/>
      <c r="E125" s="64"/>
      <c r="F125" s="65"/>
    </row>
    <row r="126" spans="1:6" ht="14.25" customHeight="1" x14ac:dyDescent="0.25">
      <c r="A126" t="str">
        <f>Prices!A27</f>
        <v>***This is a predicted price for the production year</v>
      </c>
      <c r="B126" s="60"/>
      <c r="C126" s="64"/>
      <c r="D126" s="65"/>
      <c r="E126" s="64"/>
      <c r="F126" s="65"/>
    </row>
    <row r="127" spans="1:6" ht="42" customHeight="1" x14ac:dyDescent="0.25">
      <c r="B127" s="60"/>
      <c r="C127" s="120"/>
      <c r="D127" s="121"/>
      <c r="E127" s="120"/>
      <c r="F127" s="121"/>
    </row>
    <row r="128" spans="1:6" x14ac:dyDescent="0.25">
      <c r="B128" s="60"/>
      <c r="C128" s="120"/>
      <c r="D128" s="121"/>
      <c r="E128" s="120"/>
      <c r="F128" s="121"/>
    </row>
    <row r="129" spans="1:10" x14ac:dyDescent="0.25">
      <c r="B129" s="60"/>
      <c r="C129" s="64"/>
      <c r="D129" s="65"/>
      <c r="E129" s="64"/>
      <c r="F129" s="65"/>
    </row>
    <row r="130" spans="1:10" x14ac:dyDescent="0.25">
      <c r="B130" s="60"/>
      <c r="C130" s="64"/>
      <c r="D130" s="65"/>
      <c r="E130" s="64"/>
      <c r="F130" s="65"/>
    </row>
    <row r="131" spans="1:10" x14ac:dyDescent="0.25">
      <c r="B131" s="60"/>
      <c r="C131" s="64"/>
      <c r="D131" s="65"/>
      <c r="E131" s="64"/>
      <c r="F131" s="65"/>
    </row>
    <row r="132" spans="1:10" x14ac:dyDescent="0.25">
      <c r="B132" s="60"/>
      <c r="C132" s="64"/>
      <c r="D132" s="65"/>
      <c r="E132" s="64"/>
      <c r="F132" s="65"/>
    </row>
    <row r="133" spans="1:10" x14ac:dyDescent="0.25">
      <c r="A133" s="197" t="s">
        <v>45</v>
      </c>
      <c r="B133" s="198"/>
      <c r="C133" s="198"/>
      <c r="D133" s="198"/>
      <c r="E133" s="198"/>
      <c r="F133" s="198"/>
      <c r="G133" s="198"/>
      <c r="H133" s="198"/>
      <c r="I133" s="198"/>
      <c r="J133" s="198"/>
    </row>
    <row r="134" spans="1:10" ht="15.75" x14ac:dyDescent="0.25">
      <c r="A134" s="32" t="s">
        <v>99</v>
      </c>
      <c r="B134" s="32"/>
      <c r="C134" s="32"/>
      <c r="D134" s="32"/>
      <c r="E134" s="32"/>
      <c r="F134" s="32"/>
      <c r="G134" s="32"/>
      <c r="H134" s="32"/>
      <c r="I134" s="214" t="str">
        <f>I92</f>
        <v>Version- 12.27.2021</v>
      </c>
      <c r="J134" s="214"/>
    </row>
  </sheetData>
  <sheetProtection algorithmName="SHA-512" hashValue="kfbscmqIm1jzleLXm0h7SXMuwzEKVRfQJpb6TYmib4oOsJpglMyYcLUfXRJ/ZEcEAzNsksDPBw+0PdkTaXk7zQ==" saltValue="UChhXBe47I/LjUaDWCbyhw==" spinCount="100000" sheet="1" objects="1" scenarios="1"/>
  <mergeCells count="29">
    <mergeCell ref="L2:T2"/>
    <mergeCell ref="C124:D124"/>
    <mergeCell ref="I45:J45"/>
    <mergeCell ref="I92:J92"/>
    <mergeCell ref="I134:J134"/>
    <mergeCell ref="A133:J133"/>
    <mergeCell ref="C123:D123"/>
    <mergeCell ref="A47:B47"/>
    <mergeCell ref="C115:D115"/>
    <mergeCell ref="C116:D116"/>
    <mergeCell ref="C117:D117"/>
    <mergeCell ref="C47:F47"/>
    <mergeCell ref="G47:J47"/>
    <mergeCell ref="A91:J91"/>
    <mergeCell ref="A94:B94"/>
    <mergeCell ref="C94:F94"/>
    <mergeCell ref="G94:J94"/>
    <mergeCell ref="C120:D120"/>
    <mergeCell ref="C121:D121"/>
    <mergeCell ref="C122:D122"/>
    <mergeCell ref="C119:D119"/>
    <mergeCell ref="C118:D118"/>
    <mergeCell ref="A1:B1"/>
    <mergeCell ref="C5:E5"/>
    <mergeCell ref="C1:F1"/>
    <mergeCell ref="G1:J1"/>
    <mergeCell ref="A44:J44"/>
    <mergeCell ref="C6:E6"/>
    <mergeCell ref="I4:J4"/>
  </mergeCells>
  <dataValidations count="1">
    <dataValidation type="list" showInputMessage="1" showErrorMessage="1" prompt="Select a price horizon to budget from" sqref="C1">
      <formula1>price_selections</formula1>
    </dataValidation>
  </dataValidations>
  <pageMargins left="0.25" right="0.25" top="0.75" bottom="0.5" header="0.3" footer="0"/>
  <pageSetup scale="98" orientation="portrait" horizontalDpi="4294967295" verticalDpi="4294967295" r:id="rId1"/>
  <headerFooter>
    <oddHeader>&amp;L&amp;"-,Bold"&amp;20FARM MANAGEMENT GUIDE</oddHeader>
  </headerFooter>
  <rowBreaks count="2" manualBreakCount="2">
    <brk id="46" max="9" man="1"/>
    <brk id="9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locked="0" defaultSize="0" print="0" autoFill="0" autoPict="0" macro="[0]!PrintStockerBudget">
                <anchor moveWithCells="1" sizeWithCells="1">
                  <from>
                    <xdr:col>11</xdr:col>
                    <xdr:colOff>19050</xdr:colOff>
                    <xdr:row>2</xdr:row>
                    <xdr:rowOff>171450</xdr:rowOff>
                  </from>
                  <to>
                    <xdr:col>14</xdr:col>
                    <xdr:colOff>428625</xdr:colOff>
                    <xdr:row>4</xdr:row>
                    <xdr:rowOff>114300</xdr:rowOff>
                  </to>
                </anchor>
              </controlPr>
            </control>
          </mc:Choice>
        </mc:AlternateContent>
        <mc:AlternateContent xmlns:mc="http://schemas.openxmlformats.org/markup-compatibility/2006">
          <mc:Choice Requires="x14">
            <control shapeId="13314" r:id="rId5" name="Button 2">
              <controlPr defaultSize="0" print="0" autoFill="0" autoPict="0" macro="[0]!PrintStockerPage">
                <anchor moveWithCells="1" sizeWithCells="1">
                  <from>
                    <xdr:col>10</xdr:col>
                    <xdr:colOff>600075</xdr:colOff>
                    <xdr:row>5</xdr:row>
                    <xdr:rowOff>152400</xdr:rowOff>
                  </from>
                  <to>
                    <xdr:col>14</xdr:col>
                    <xdr:colOff>438150</xdr:colOff>
                    <xdr:row>7</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00000"/>
  </sheetPr>
  <dimension ref="A1:T132"/>
  <sheetViews>
    <sheetView zoomScale="110" zoomScaleNormal="110" zoomScaleSheetLayoutView="80" workbookViewId="0">
      <selection activeCell="C11" sqref="C11"/>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7" width="5" customWidth="1"/>
    <col min="8" max="8" width="3.7109375" customWidth="1"/>
    <col min="9" max="9" width="5.42578125" customWidth="1"/>
    <col min="10" max="10" width="16.42578125" customWidth="1"/>
  </cols>
  <sheetData>
    <row r="1" spans="1:20" ht="15" customHeight="1" x14ac:dyDescent="0.25">
      <c r="A1" s="193" t="s">
        <v>97</v>
      </c>
      <c r="B1" s="194"/>
      <c r="C1" s="195" t="str">
        <f>Prices!A1</f>
        <v>2022 Production Year</v>
      </c>
      <c r="D1" s="195"/>
      <c r="E1" s="195"/>
      <c r="F1" s="195"/>
      <c r="G1" s="210" t="str">
        <f>IF(C1=Prices!B3,TEXT(Prices!B4,"MMM-YYYY"),TEXT(Prices!C4,"MMM-YYYY"))</f>
        <v>(as of Dec. 21st, 2021)</v>
      </c>
      <c r="H1" s="210"/>
      <c r="I1" s="210"/>
      <c r="J1" s="210"/>
      <c r="K1" s="70"/>
    </row>
    <row r="2" spans="1:20" ht="15" customHeight="1" x14ac:dyDescent="0.25">
      <c r="A2" s="20"/>
      <c r="B2" s="21"/>
      <c r="C2" s="22"/>
      <c r="D2" s="23"/>
      <c r="E2" s="22"/>
      <c r="F2" s="22"/>
      <c r="G2" s="23"/>
      <c r="H2" s="22"/>
      <c r="I2" s="23"/>
      <c r="J2" s="22"/>
      <c r="L2" s="208" t="s">
        <v>143</v>
      </c>
      <c r="M2" s="208"/>
      <c r="N2" s="208"/>
      <c r="O2" s="208"/>
      <c r="P2" s="208"/>
      <c r="Q2" s="208"/>
      <c r="R2" s="208"/>
      <c r="S2" s="208"/>
      <c r="T2" s="208"/>
    </row>
    <row r="3" spans="1:20" x14ac:dyDescent="0.25">
      <c r="A3" s="11" t="s">
        <v>1</v>
      </c>
      <c r="D3" s="41"/>
      <c r="G3" s="41"/>
      <c r="I3" s="41"/>
      <c r="L3" s="166"/>
      <c r="M3" s="166"/>
      <c r="N3" s="166"/>
      <c r="O3" s="166"/>
      <c r="P3" s="166"/>
      <c r="Q3" s="166"/>
      <c r="R3" s="166"/>
      <c r="S3" s="166"/>
      <c r="T3" s="166"/>
    </row>
    <row r="4" spans="1:20" x14ac:dyDescent="0.25">
      <c r="A4" t="s">
        <v>51</v>
      </c>
      <c r="B4" s="103">
        <v>1.4999999999999999E-2</v>
      </c>
      <c r="D4" s="41"/>
      <c r="F4" s="43"/>
      <c r="G4" s="41"/>
      <c r="I4" s="212" t="s">
        <v>102</v>
      </c>
      <c r="J4" s="212"/>
      <c r="L4" s="166"/>
      <c r="M4" s="166"/>
      <c r="N4" s="166"/>
      <c r="O4" s="166"/>
      <c r="P4" s="166"/>
      <c r="Q4" s="166"/>
      <c r="R4" s="166"/>
      <c r="S4" s="166"/>
      <c r="T4" s="166"/>
    </row>
    <row r="5" spans="1:20" x14ac:dyDescent="0.25">
      <c r="A5" t="s">
        <v>54</v>
      </c>
      <c r="B5" s="106">
        <v>150</v>
      </c>
      <c r="C5" s="211" t="s">
        <v>53</v>
      </c>
      <c r="D5" s="211"/>
      <c r="E5" s="211"/>
      <c r="F5" s="110">
        <v>3.7</v>
      </c>
      <c r="G5" s="41"/>
      <c r="I5" s="41"/>
      <c r="J5" s="71">
        <f>(E8-E9)/100</f>
        <v>5.55</v>
      </c>
      <c r="L5" s="166"/>
      <c r="M5" s="166"/>
      <c r="N5" s="166"/>
      <c r="O5" s="166"/>
      <c r="P5" s="166"/>
      <c r="Q5" s="166"/>
      <c r="R5" s="166"/>
      <c r="S5" s="166"/>
      <c r="T5" s="166"/>
    </row>
    <row r="6" spans="1:20" x14ac:dyDescent="0.25">
      <c r="D6" s="41"/>
      <c r="G6" s="41"/>
      <c r="I6" s="41"/>
      <c r="L6" s="166"/>
      <c r="M6" s="166"/>
      <c r="N6" s="166"/>
      <c r="O6" s="166"/>
      <c r="P6" s="166"/>
      <c r="Q6" s="166"/>
      <c r="R6" s="166"/>
      <c r="S6" s="166"/>
      <c r="T6" s="166"/>
    </row>
    <row r="7" spans="1:20" x14ac:dyDescent="0.25">
      <c r="A7" s="16" t="s">
        <v>71</v>
      </c>
      <c r="B7" s="16" t="s">
        <v>2</v>
      </c>
      <c r="C7" s="16" t="s">
        <v>3</v>
      </c>
      <c r="D7" s="16"/>
      <c r="E7" s="16" t="s">
        <v>17</v>
      </c>
      <c r="F7" s="16" t="s">
        <v>3</v>
      </c>
      <c r="G7" s="16"/>
      <c r="H7" s="16"/>
      <c r="I7" s="16"/>
      <c r="J7" s="16" t="s">
        <v>19</v>
      </c>
      <c r="K7" s="22"/>
      <c r="L7" s="166"/>
      <c r="M7" s="166"/>
      <c r="N7" s="166"/>
      <c r="O7" s="166"/>
      <c r="P7" s="166"/>
      <c r="Q7" s="166"/>
      <c r="R7" s="166"/>
      <c r="S7" s="166"/>
      <c r="T7" s="166"/>
    </row>
    <row r="8" spans="1:20" x14ac:dyDescent="0.25">
      <c r="A8" t="s">
        <v>100</v>
      </c>
      <c r="B8" s="118">
        <f>IF(C1=Prices!A1,Prices!B21,Prices!C21)+((E8-1400)*-0.1045)</f>
        <v>135.55875</v>
      </c>
      <c r="C8" s="6" t="s">
        <v>44</v>
      </c>
      <c r="D8" s="41" t="s">
        <v>49</v>
      </c>
      <c r="E8" s="42">
        <f>E9+(B5*F5)</f>
        <v>1442.5</v>
      </c>
      <c r="F8" s="6" t="s">
        <v>4</v>
      </c>
      <c r="G8" s="41"/>
      <c r="H8" s="5"/>
      <c r="I8" s="13" t="s">
        <v>50</v>
      </c>
      <c r="J8" s="4">
        <f>B8*(E8/100)</f>
        <v>1955.4349687500001</v>
      </c>
      <c r="K8" s="69"/>
      <c r="L8" s="96"/>
      <c r="M8" s="96"/>
      <c r="N8" s="96"/>
      <c r="O8" s="166"/>
      <c r="P8" s="166"/>
      <c r="Q8" s="166"/>
      <c r="R8" s="166"/>
      <c r="S8" s="166"/>
      <c r="T8" s="166"/>
    </row>
    <row r="9" spans="1:20" x14ac:dyDescent="0.25">
      <c r="A9" t="s">
        <v>47</v>
      </c>
      <c r="B9" s="113">
        <f>IF(C1=Prices!A1,Prices!B20,Prices!C20)+((E9-888)*-0.0842)</f>
        <v>178.0421</v>
      </c>
      <c r="C9" s="6" t="s">
        <v>44</v>
      </c>
      <c r="D9" s="41" t="s">
        <v>49</v>
      </c>
      <c r="E9" s="105">
        <f>Stocker!E9</f>
        <v>887.5</v>
      </c>
      <c r="F9" s="6" t="s">
        <v>4</v>
      </c>
      <c r="G9" s="41"/>
      <c r="H9" s="5"/>
      <c r="I9" s="13" t="s">
        <v>50</v>
      </c>
      <c r="J9" s="4">
        <f>-(B9*(E9/100))</f>
        <v>-1580.1236375000001</v>
      </c>
      <c r="K9" s="22"/>
      <c r="L9" s="96"/>
      <c r="M9" s="96"/>
      <c r="N9" s="96"/>
      <c r="O9" s="166"/>
      <c r="P9" s="166"/>
      <c r="Q9" s="166"/>
      <c r="R9" s="166"/>
      <c r="S9" s="166"/>
      <c r="T9" s="166"/>
    </row>
    <row r="10" spans="1:20" x14ac:dyDescent="0.25">
      <c r="A10" t="s">
        <v>51</v>
      </c>
      <c r="B10" s="1"/>
      <c r="C10" s="6"/>
      <c r="D10" s="41"/>
      <c r="E10" s="31"/>
      <c r="F10" s="6"/>
      <c r="G10" s="41"/>
      <c r="H10" s="5"/>
      <c r="I10" s="13"/>
      <c r="J10" s="4">
        <f>(B4*J9)</f>
        <v>-23.701854562499999</v>
      </c>
      <c r="K10" s="22"/>
      <c r="L10" s="96"/>
      <c r="M10" s="96"/>
      <c r="N10" s="96"/>
      <c r="O10" s="166"/>
      <c r="P10" s="166"/>
      <c r="Q10" s="166"/>
      <c r="R10" s="168"/>
      <c r="S10" s="168"/>
      <c r="T10" s="166"/>
    </row>
    <row r="11" spans="1:20" x14ac:dyDescent="0.25">
      <c r="A11" t="s">
        <v>22</v>
      </c>
      <c r="B11" s="1"/>
      <c r="C11" s="6"/>
      <c r="D11" s="41"/>
      <c r="E11" s="3"/>
      <c r="F11" s="6"/>
      <c r="G11" s="41"/>
      <c r="H11" s="5"/>
      <c r="I11" s="13"/>
      <c r="J11" s="1"/>
      <c r="K11" s="22"/>
      <c r="L11" s="96"/>
      <c r="M11" s="96"/>
      <c r="N11" s="96"/>
      <c r="O11" s="166"/>
      <c r="P11" s="166"/>
      <c r="Q11" s="166"/>
      <c r="R11" s="166"/>
      <c r="S11" s="166"/>
      <c r="T11" s="166"/>
    </row>
    <row r="12" spans="1:20" x14ac:dyDescent="0.25">
      <c r="A12" s="19" t="s">
        <v>72</v>
      </c>
      <c r="B12" s="14"/>
      <c r="C12" s="14"/>
      <c r="D12" s="15"/>
      <c r="E12" s="14"/>
      <c r="F12" s="14"/>
      <c r="G12" s="15"/>
      <c r="H12" s="14"/>
      <c r="I12" s="15"/>
      <c r="J12" s="17">
        <f>SUM(J8:J11)</f>
        <v>351.60947668749998</v>
      </c>
      <c r="K12" s="22"/>
      <c r="L12" s="96"/>
      <c r="M12" s="96"/>
      <c r="N12" s="96"/>
      <c r="O12" s="166"/>
      <c r="P12" s="166"/>
      <c r="Q12" s="166"/>
      <c r="R12" s="166"/>
      <c r="S12" s="166"/>
      <c r="T12" s="166"/>
    </row>
    <row r="13" spans="1:20" x14ac:dyDescent="0.25">
      <c r="A13" s="8"/>
      <c r="D13" s="41"/>
      <c r="G13" s="41"/>
      <c r="I13" s="41"/>
      <c r="K13" s="22"/>
      <c r="L13" s="96"/>
      <c r="M13" s="96"/>
      <c r="N13" s="96"/>
      <c r="O13" s="166"/>
      <c r="P13" s="166"/>
      <c r="Q13" s="166"/>
      <c r="R13" s="166"/>
      <c r="S13" s="166"/>
      <c r="T13" s="166"/>
    </row>
    <row r="14" spans="1:20" x14ac:dyDescent="0.25">
      <c r="A14" s="16" t="s">
        <v>8</v>
      </c>
      <c r="B14" s="14"/>
      <c r="C14" s="14"/>
      <c r="D14" s="15"/>
      <c r="E14" s="14"/>
      <c r="F14" s="14"/>
      <c r="G14" s="15"/>
      <c r="H14" s="14"/>
      <c r="I14" s="15"/>
      <c r="J14" s="14"/>
      <c r="K14" s="22"/>
      <c r="L14" s="96"/>
      <c r="M14" s="96"/>
      <c r="N14" s="96"/>
      <c r="O14" s="166"/>
      <c r="P14" s="166"/>
      <c r="Q14" s="166"/>
      <c r="R14" s="166"/>
      <c r="S14" s="166"/>
      <c r="T14" s="166"/>
    </row>
    <row r="15" spans="1:20" x14ac:dyDescent="0.25">
      <c r="A15" t="s">
        <v>24</v>
      </c>
      <c r="B15" s="113">
        <f>IF(C1=Prices!A1,(((Feed!I20/Feed!I23)*Prices!B10)+((Feed!I21/Feed!I23)*Prices!B9)+((Feed!I22/Feed!I23)*Prices!B11)),((Feed!I20/Feed!I23)*Prices!C10)+((Feed!I21/Feed!I23)*Prices!C9)+((Feed!I22/Feed!I23)*Prices!C11))</f>
        <v>135</v>
      </c>
      <c r="C15" s="6" t="s">
        <v>27</v>
      </c>
      <c r="D15" s="41" t="s">
        <v>49</v>
      </c>
      <c r="E15" s="57">
        <f>(Feed!I23*Feedlot!B5)/2000</f>
        <v>0.22500000000000001</v>
      </c>
      <c r="F15" s="6" t="s">
        <v>75</v>
      </c>
      <c r="G15" s="41"/>
      <c r="H15" s="5"/>
      <c r="I15" s="13" t="s">
        <v>6</v>
      </c>
      <c r="J15" s="113">
        <f>B15*E15</f>
        <v>30.375</v>
      </c>
      <c r="K15" s="22"/>
      <c r="L15" s="166"/>
      <c r="M15" s="166"/>
      <c r="N15" s="166"/>
      <c r="O15" s="166"/>
      <c r="P15" s="166"/>
      <c r="Q15" s="166"/>
      <c r="R15" s="166"/>
      <c r="S15" s="166"/>
      <c r="T15" s="166"/>
    </row>
    <row r="16" spans="1:20" x14ac:dyDescent="0.25">
      <c r="A16" s="26" t="s">
        <v>29</v>
      </c>
      <c r="B16" s="113">
        <f>IF(C1=Prices!A1,(((Feed!I26/Feed!I27)*Prices!B6)+((Feed!I25/Feed!I27)*Prices!B7)+((Feed!I24/Feed!I27)*(Prices!B5*2000)/56)),(((Feed!I26/Feed!I27)*Prices!C6)+((Feed!I25/Feed!I27)*Prices!C7)+((Feed!I24/Feed!I27)*(Prices!C5*2000)/56)))</f>
        <v>223.40909090909091</v>
      </c>
      <c r="C16" s="6" t="s">
        <v>27</v>
      </c>
      <c r="D16" s="41" t="s">
        <v>49</v>
      </c>
      <c r="E16" s="46">
        <f>Feed!I27*B5</f>
        <v>3300</v>
      </c>
      <c r="F16" s="6" t="s">
        <v>76</v>
      </c>
      <c r="G16" s="41"/>
      <c r="H16" s="5"/>
      <c r="I16" s="13" t="s">
        <v>6</v>
      </c>
      <c r="J16" s="113">
        <f>(B16/2000)*E16</f>
        <v>368.625</v>
      </c>
      <c r="K16" s="22"/>
      <c r="L16" s="166"/>
      <c r="M16" s="166"/>
      <c r="N16" s="170"/>
      <c r="O16" s="166"/>
      <c r="P16" s="166"/>
      <c r="Q16" s="166"/>
      <c r="R16" s="166"/>
      <c r="S16" s="166"/>
      <c r="T16" s="166"/>
    </row>
    <row r="17" spans="1:20" x14ac:dyDescent="0.25">
      <c r="A17" t="s">
        <v>28</v>
      </c>
      <c r="B17" s="113">
        <f>IF(C1=Prices!A1,Prices!B15, Prices!C15)</f>
        <v>650</v>
      </c>
      <c r="C17" s="6" t="s">
        <v>27</v>
      </c>
      <c r="D17" s="41" t="s">
        <v>49</v>
      </c>
      <c r="E17" s="46">
        <f>Feed!I28*B5</f>
        <v>75</v>
      </c>
      <c r="F17" s="6" t="s">
        <v>76</v>
      </c>
      <c r="G17" s="41"/>
      <c r="H17" s="5"/>
      <c r="I17" s="13" t="s">
        <v>6</v>
      </c>
      <c r="J17" s="113">
        <f>(B17/2000)*E17</f>
        <v>24.375</v>
      </c>
      <c r="K17" s="22"/>
      <c r="L17" s="167"/>
      <c r="M17" s="167"/>
      <c r="N17" s="96"/>
      <c r="O17" s="168"/>
      <c r="P17" s="168"/>
      <c r="Q17" s="166"/>
      <c r="R17" s="166"/>
      <c r="S17" s="166"/>
      <c r="T17" s="166"/>
    </row>
    <row r="18" spans="1:20" x14ac:dyDescent="0.25">
      <c r="A18" t="s">
        <v>116</v>
      </c>
      <c r="B18" s="104">
        <v>0</v>
      </c>
      <c r="C18" s="6" t="s">
        <v>117</v>
      </c>
      <c r="D18" s="112" t="s">
        <v>49</v>
      </c>
      <c r="E18" s="106">
        <v>0</v>
      </c>
      <c r="F18" s="6" t="s">
        <v>118</v>
      </c>
      <c r="G18" s="112"/>
      <c r="H18" s="5"/>
      <c r="I18" s="13" t="s">
        <v>50</v>
      </c>
      <c r="J18" s="104">
        <f>B18*E18</f>
        <v>0</v>
      </c>
      <c r="K18" s="22"/>
      <c r="L18" s="167"/>
      <c r="M18" s="167"/>
      <c r="N18" s="96"/>
      <c r="O18" s="168"/>
      <c r="P18" s="168"/>
      <c r="Q18" s="166"/>
      <c r="R18" s="166"/>
      <c r="S18" s="166"/>
      <c r="T18" s="166"/>
    </row>
    <row r="19" spans="1:20" x14ac:dyDescent="0.25">
      <c r="A19" t="s">
        <v>30</v>
      </c>
      <c r="B19" s="104">
        <v>20</v>
      </c>
      <c r="C19" s="6" t="s">
        <v>64</v>
      </c>
      <c r="D19" s="41" t="s">
        <v>49</v>
      </c>
      <c r="E19" s="106">
        <v>1.5</v>
      </c>
      <c r="F19" s="6" t="s">
        <v>65</v>
      </c>
      <c r="G19" s="41"/>
      <c r="H19" s="5"/>
      <c r="I19" s="13" t="s">
        <v>6</v>
      </c>
      <c r="J19" s="104">
        <f>B19*E19</f>
        <v>30</v>
      </c>
      <c r="K19" s="22"/>
      <c r="L19" s="96"/>
      <c r="M19" s="96"/>
      <c r="N19" s="96"/>
      <c r="O19" s="166"/>
      <c r="P19" s="166"/>
      <c r="Q19" s="166"/>
      <c r="R19" s="166"/>
      <c r="S19" s="166"/>
      <c r="T19" s="166"/>
    </row>
    <row r="20" spans="1:20" x14ac:dyDescent="0.25">
      <c r="A20" t="s">
        <v>31</v>
      </c>
      <c r="B20" s="1"/>
      <c r="C20" s="6"/>
      <c r="D20" s="41"/>
      <c r="E20" s="3"/>
      <c r="F20" s="6"/>
      <c r="G20" s="41"/>
      <c r="H20" s="5"/>
      <c r="I20" s="13"/>
      <c r="J20" s="116">
        <v>5</v>
      </c>
      <c r="K20" s="22"/>
      <c r="L20" s="96"/>
      <c r="M20" s="96"/>
      <c r="N20" s="96"/>
      <c r="O20" s="166"/>
      <c r="P20" s="166"/>
      <c r="Q20" s="166"/>
      <c r="R20" s="166"/>
      <c r="S20" s="166"/>
      <c r="T20" s="166"/>
    </row>
    <row r="21" spans="1:20" x14ac:dyDescent="0.25">
      <c r="A21" t="s">
        <v>52</v>
      </c>
      <c r="B21" s="1"/>
      <c r="C21" s="6"/>
      <c r="D21" s="41"/>
      <c r="E21" s="3"/>
      <c r="F21" s="6"/>
      <c r="G21" s="41"/>
      <c r="H21" s="5"/>
      <c r="I21" s="13"/>
      <c r="J21" s="116">
        <v>10</v>
      </c>
      <c r="K21" s="22"/>
      <c r="L21" s="96"/>
      <c r="M21" s="96"/>
      <c r="N21" s="96"/>
      <c r="O21" s="166"/>
      <c r="P21" s="166"/>
      <c r="Q21" s="166"/>
      <c r="R21" s="166"/>
      <c r="S21" s="166"/>
      <c r="T21" s="166"/>
    </row>
    <row r="22" spans="1:20" x14ac:dyDescent="0.25">
      <c r="A22" t="s">
        <v>32</v>
      </c>
      <c r="B22" s="1"/>
      <c r="C22" s="6"/>
      <c r="D22" s="41"/>
      <c r="E22" s="3"/>
      <c r="F22" s="6"/>
      <c r="G22" s="41"/>
      <c r="H22" s="5"/>
      <c r="I22" s="13"/>
      <c r="J22" s="116">
        <f>ROUND(1.1*J5,0)</f>
        <v>6</v>
      </c>
      <c r="K22" s="22"/>
      <c r="L22" s="96"/>
      <c r="M22" s="96"/>
      <c r="N22" s="96"/>
      <c r="O22" s="166"/>
      <c r="P22" s="166"/>
      <c r="Q22" s="166"/>
      <c r="R22" s="166"/>
      <c r="S22" s="166"/>
      <c r="T22" s="166"/>
    </row>
    <row r="23" spans="1:20" x14ac:dyDescent="0.25">
      <c r="A23" t="s">
        <v>66</v>
      </c>
      <c r="B23" s="1"/>
      <c r="C23" s="6"/>
      <c r="D23" s="41"/>
      <c r="E23" s="3"/>
      <c r="F23" s="6"/>
      <c r="G23" s="41"/>
      <c r="H23" s="5"/>
      <c r="I23" s="13"/>
      <c r="J23" s="116">
        <f>ROUND(1*J5,0)</f>
        <v>6</v>
      </c>
      <c r="K23" s="22"/>
      <c r="L23" s="96"/>
      <c r="M23" s="96"/>
      <c r="N23" s="96"/>
      <c r="O23" s="166"/>
      <c r="P23" s="166"/>
      <c r="Q23" s="166"/>
      <c r="R23" s="166"/>
      <c r="S23" s="166"/>
      <c r="T23" s="166"/>
    </row>
    <row r="24" spans="1:20" x14ac:dyDescent="0.25">
      <c r="A24" t="s">
        <v>114</v>
      </c>
      <c r="B24" s="1"/>
      <c r="C24" s="6"/>
      <c r="D24" s="111"/>
      <c r="E24" s="3"/>
      <c r="F24" s="6"/>
      <c r="G24" s="111"/>
      <c r="H24" s="5"/>
      <c r="I24" s="13"/>
      <c r="J24" s="116">
        <f>ROUND(6.5*J5,0)</f>
        <v>36</v>
      </c>
      <c r="K24" s="22"/>
      <c r="L24" s="96"/>
      <c r="M24" s="96"/>
      <c r="N24" s="96"/>
      <c r="O24" s="166"/>
      <c r="P24" s="166"/>
      <c r="Q24" s="166"/>
      <c r="R24" s="166"/>
      <c r="S24" s="166"/>
      <c r="T24" s="166"/>
    </row>
    <row r="25" spans="1:20" x14ac:dyDescent="0.25">
      <c r="A25" s="14" t="s">
        <v>33</v>
      </c>
      <c r="B25" s="14"/>
      <c r="C25" s="37"/>
      <c r="D25" s="15"/>
      <c r="E25" s="38"/>
      <c r="F25" s="37"/>
      <c r="G25" s="15"/>
      <c r="H25" s="39"/>
      <c r="I25" s="40"/>
      <c r="J25" s="117">
        <f>ROUND(0.5*J5,0)</f>
        <v>3</v>
      </c>
      <c r="K25" s="22"/>
      <c r="L25" s="96"/>
      <c r="M25" s="96"/>
      <c r="N25" s="96"/>
      <c r="O25" s="166"/>
      <c r="P25" s="166"/>
      <c r="Q25" s="166"/>
      <c r="R25" s="166"/>
      <c r="S25" s="166"/>
      <c r="T25" s="166"/>
    </row>
    <row r="26" spans="1:20" x14ac:dyDescent="0.25">
      <c r="A26" s="8" t="s">
        <v>12</v>
      </c>
      <c r="D26" s="41"/>
      <c r="G26" s="41"/>
      <c r="I26" s="41"/>
      <c r="J26" s="9">
        <f>SUM(J15:J25)</f>
        <v>519.375</v>
      </c>
      <c r="K26" s="22"/>
      <c r="L26" s="96"/>
      <c r="M26" s="96"/>
      <c r="N26" s="96"/>
      <c r="O26" s="166"/>
      <c r="P26" s="166"/>
      <c r="Q26" s="166"/>
      <c r="R26" s="166"/>
      <c r="S26" s="166"/>
      <c r="T26" s="166"/>
    </row>
    <row r="27" spans="1:20" x14ac:dyDescent="0.25">
      <c r="D27" s="41"/>
      <c r="G27" s="41"/>
      <c r="I27" s="41"/>
      <c r="K27" s="22"/>
      <c r="L27" s="96"/>
      <c r="M27" s="96"/>
      <c r="N27" s="96"/>
      <c r="O27" s="166"/>
      <c r="P27" s="166"/>
      <c r="Q27" s="166"/>
      <c r="R27" s="166"/>
      <c r="S27" s="166"/>
      <c r="T27" s="166"/>
    </row>
    <row r="28" spans="1:20" x14ac:dyDescent="0.25">
      <c r="A28" s="16" t="s">
        <v>9</v>
      </c>
      <c r="B28" s="14"/>
      <c r="C28" s="14"/>
      <c r="D28" s="15"/>
      <c r="E28" s="14"/>
      <c r="F28" s="14"/>
      <c r="G28" s="15"/>
      <c r="H28" s="14"/>
      <c r="I28" s="15"/>
      <c r="J28" s="14"/>
      <c r="K28" s="22"/>
      <c r="L28" s="96"/>
      <c r="M28" s="96"/>
      <c r="N28" s="96"/>
      <c r="O28" s="166"/>
      <c r="P28" s="166"/>
      <c r="Q28" s="166"/>
      <c r="R28" s="166"/>
      <c r="S28" s="166"/>
      <c r="T28" s="166"/>
    </row>
    <row r="29" spans="1:20" x14ac:dyDescent="0.25">
      <c r="A29" t="s">
        <v>34</v>
      </c>
      <c r="D29" s="41"/>
      <c r="G29" s="41"/>
      <c r="I29" s="41"/>
      <c r="J29" s="104">
        <v>9</v>
      </c>
      <c r="K29" s="22"/>
      <c r="L29" s="96"/>
      <c r="M29" s="96"/>
      <c r="N29" s="96"/>
      <c r="O29" s="166"/>
      <c r="P29" s="166"/>
      <c r="Q29" s="166"/>
      <c r="R29" s="166"/>
      <c r="S29" s="166"/>
      <c r="T29" s="166"/>
    </row>
    <row r="30" spans="1:20" x14ac:dyDescent="0.25">
      <c r="A30" t="s">
        <v>70</v>
      </c>
      <c r="D30" s="41"/>
      <c r="G30" s="41"/>
      <c r="I30" s="41"/>
      <c r="J30" s="104">
        <v>2</v>
      </c>
      <c r="L30" s="96"/>
      <c r="M30" s="96"/>
      <c r="N30" s="96"/>
      <c r="O30" s="166"/>
      <c r="P30" s="166"/>
      <c r="Q30" s="166"/>
      <c r="R30" s="166"/>
      <c r="S30" s="166"/>
      <c r="T30" s="166"/>
    </row>
    <row r="31" spans="1:20" x14ac:dyDescent="0.25">
      <c r="A31" t="s">
        <v>68</v>
      </c>
      <c r="D31" s="41"/>
      <c r="G31" s="41"/>
      <c r="I31" s="41"/>
      <c r="J31" s="104">
        <v>3.5</v>
      </c>
      <c r="K31" s="22"/>
      <c r="L31" s="96"/>
      <c r="M31" s="96"/>
      <c r="N31" s="96"/>
      <c r="O31" s="166"/>
      <c r="P31" s="166"/>
      <c r="Q31" s="166"/>
      <c r="R31" s="166"/>
      <c r="S31" s="166"/>
      <c r="T31" s="166"/>
    </row>
    <row r="32" spans="1:20" x14ac:dyDescent="0.25">
      <c r="A32" s="29" t="s">
        <v>67</v>
      </c>
      <c r="B32" s="29"/>
      <c r="C32" s="29"/>
      <c r="D32" s="30"/>
      <c r="E32" s="29"/>
      <c r="F32" s="29"/>
      <c r="G32" s="30"/>
      <c r="H32" s="29"/>
      <c r="I32" s="30"/>
      <c r="J32" s="108">
        <v>36</v>
      </c>
      <c r="K32" s="22"/>
      <c r="L32" s="96"/>
      <c r="M32" s="96"/>
      <c r="N32" s="96"/>
      <c r="O32" s="166"/>
      <c r="P32" s="166"/>
      <c r="Q32" s="166"/>
      <c r="R32" s="166"/>
      <c r="S32" s="166"/>
      <c r="T32" s="166"/>
    </row>
    <row r="33" spans="1:20" x14ac:dyDescent="0.25">
      <c r="A33" s="50" t="s">
        <v>77</v>
      </c>
      <c r="B33" s="29"/>
      <c r="C33" s="29"/>
      <c r="D33" s="30"/>
      <c r="E33" s="29"/>
      <c r="F33" s="29"/>
      <c r="G33" s="30"/>
      <c r="H33" s="29"/>
      <c r="I33" s="30"/>
      <c r="J33" s="108">
        <v>0</v>
      </c>
      <c r="K33" s="22"/>
      <c r="L33" s="96"/>
      <c r="M33" s="96"/>
      <c r="N33" s="96"/>
      <c r="O33" s="166"/>
      <c r="P33" s="166"/>
      <c r="Q33" s="166"/>
      <c r="R33" s="166"/>
      <c r="S33" s="166"/>
      <c r="T33" s="166"/>
    </row>
    <row r="34" spans="1:20" x14ac:dyDescent="0.25">
      <c r="A34" s="53" t="s">
        <v>10</v>
      </c>
      <c r="B34" s="54"/>
      <c r="C34" s="54"/>
      <c r="D34" s="52"/>
      <c r="E34" s="54"/>
      <c r="F34" s="54"/>
      <c r="G34" s="52"/>
      <c r="H34" s="54"/>
      <c r="I34" s="52"/>
      <c r="J34" s="55">
        <f>SUM(J29:J32)</f>
        <v>50.5</v>
      </c>
      <c r="K34" s="22"/>
      <c r="L34" s="96"/>
      <c r="M34" s="96"/>
      <c r="N34" s="96"/>
      <c r="O34" s="166"/>
      <c r="P34" s="166"/>
      <c r="Q34" s="166"/>
      <c r="R34" s="166"/>
      <c r="S34" s="166"/>
      <c r="T34" s="166"/>
    </row>
    <row r="35" spans="1:20" x14ac:dyDescent="0.25">
      <c r="B35" s="1"/>
      <c r="C35" s="6"/>
      <c r="D35" s="66"/>
      <c r="E35" s="3"/>
      <c r="F35" s="6"/>
      <c r="G35" s="66"/>
      <c r="H35" s="5"/>
      <c r="I35" s="13"/>
      <c r="J35" s="1"/>
      <c r="K35" s="22"/>
      <c r="L35" s="96"/>
      <c r="M35" s="96"/>
      <c r="N35" s="96"/>
      <c r="O35" s="166"/>
      <c r="P35" s="166"/>
      <c r="Q35" s="166"/>
      <c r="R35" s="166"/>
      <c r="S35" s="166"/>
      <c r="T35" s="166"/>
    </row>
    <row r="36" spans="1:20" x14ac:dyDescent="0.25">
      <c r="A36" s="16" t="s">
        <v>11</v>
      </c>
      <c r="B36" s="14"/>
      <c r="C36" s="14"/>
      <c r="D36" s="15"/>
      <c r="E36" s="14"/>
      <c r="F36" s="14"/>
      <c r="G36" s="15"/>
      <c r="H36" s="14"/>
      <c r="I36" s="15"/>
      <c r="J36" s="17">
        <f>J26+J34</f>
        <v>569.875</v>
      </c>
      <c r="K36" s="85"/>
      <c r="L36" s="96"/>
      <c r="M36" s="171"/>
      <c r="N36" s="96"/>
      <c r="O36" s="166"/>
      <c r="P36" s="166"/>
      <c r="Q36" s="166"/>
      <c r="R36" s="166"/>
      <c r="S36" s="166"/>
      <c r="T36" s="166"/>
    </row>
    <row r="37" spans="1:20" x14ac:dyDescent="0.25">
      <c r="D37" s="41"/>
      <c r="G37" s="41"/>
      <c r="I37" s="41"/>
      <c r="K37" s="22"/>
      <c r="L37" s="96"/>
      <c r="M37" s="167"/>
      <c r="N37" s="96"/>
      <c r="O37" s="166"/>
      <c r="P37" s="166"/>
      <c r="Q37" s="166"/>
      <c r="R37" s="166"/>
      <c r="S37" s="166"/>
      <c r="T37" s="166"/>
    </row>
    <row r="38" spans="1:20" ht="15" customHeight="1" x14ac:dyDescent="0.25">
      <c r="A38" t="s">
        <v>35</v>
      </c>
      <c r="D38" s="41"/>
      <c r="G38" s="41"/>
      <c r="I38" s="41"/>
      <c r="J38" s="4">
        <f>J12-J26</f>
        <v>-167.76552331250002</v>
      </c>
      <c r="K38" s="22"/>
      <c r="L38" s="96"/>
      <c r="M38" s="96"/>
      <c r="N38" s="96"/>
      <c r="O38" s="166"/>
      <c r="P38" s="166"/>
      <c r="Q38" s="166"/>
      <c r="R38" s="166"/>
      <c r="S38" s="166"/>
      <c r="T38" s="166"/>
    </row>
    <row r="39" spans="1:20" ht="15.75" thickBot="1" x14ac:dyDescent="0.3">
      <c r="A39" s="2" t="s">
        <v>13</v>
      </c>
      <c r="D39" s="41"/>
      <c r="G39" s="41"/>
      <c r="I39" s="41"/>
      <c r="J39" s="24">
        <f>J12-J36</f>
        <v>-218.26552331250002</v>
      </c>
      <c r="L39" s="96"/>
      <c r="M39" s="96"/>
      <c r="N39" s="96"/>
      <c r="O39" s="166"/>
      <c r="P39" s="166"/>
      <c r="Q39" s="166"/>
      <c r="R39" s="166"/>
      <c r="S39" s="166"/>
      <c r="T39" s="166"/>
    </row>
    <row r="40" spans="1:20" ht="15.75" thickTop="1" x14ac:dyDescent="0.25">
      <c r="L40" s="166"/>
      <c r="M40" s="166"/>
      <c r="N40" s="166"/>
      <c r="O40" s="166"/>
      <c r="P40" s="166"/>
      <c r="Q40" s="166"/>
      <c r="R40" s="166"/>
      <c r="S40" s="166"/>
      <c r="T40" s="166"/>
    </row>
    <row r="41" spans="1:20" x14ac:dyDescent="0.25">
      <c r="L41" s="166"/>
      <c r="M41" s="166"/>
      <c r="N41" s="166"/>
      <c r="O41" s="166"/>
      <c r="P41" s="166"/>
      <c r="Q41" s="166"/>
      <c r="R41" s="166"/>
      <c r="S41" s="166"/>
      <c r="T41" s="166"/>
    </row>
    <row r="42" spans="1:20" ht="100.5" customHeight="1" x14ac:dyDescent="0.25">
      <c r="A42" s="28"/>
      <c r="B42" s="29"/>
      <c r="C42" s="29"/>
      <c r="D42" s="65"/>
      <c r="E42" s="29"/>
      <c r="F42" s="29"/>
      <c r="G42" s="65"/>
      <c r="H42" s="29"/>
      <c r="I42" s="65"/>
      <c r="J42" s="18"/>
      <c r="L42" s="166"/>
      <c r="M42" s="166"/>
      <c r="N42" s="166"/>
      <c r="O42" s="166"/>
      <c r="P42" s="166"/>
      <c r="Q42" s="166"/>
      <c r="R42" s="166"/>
      <c r="S42" s="166"/>
      <c r="T42" s="166"/>
    </row>
    <row r="43" spans="1:20" ht="15" customHeight="1" x14ac:dyDescent="0.25">
      <c r="A43" s="197" t="s">
        <v>45</v>
      </c>
      <c r="B43" s="198"/>
      <c r="C43" s="198"/>
      <c r="D43" s="198"/>
      <c r="E43" s="198"/>
      <c r="F43" s="198"/>
      <c r="G43" s="198"/>
      <c r="H43" s="198"/>
      <c r="I43" s="198"/>
      <c r="J43" s="198"/>
    </row>
    <row r="44" spans="1:20" ht="15.75" x14ac:dyDescent="0.25">
      <c r="A44" s="32" t="s">
        <v>98</v>
      </c>
      <c r="B44" s="32"/>
      <c r="C44" s="32"/>
      <c r="D44" s="32"/>
      <c r="E44" s="32"/>
      <c r="F44" s="32"/>
      <c r="G44" s="32"/>
      <c r="H44" s="32"/>
      <c r="I44" s="214" t="str">
        <f>Introduction!L8</f>
        <v>Version- 12.27.2021</v>
      </c>
      <c r="J44" s="214"/>
    </row>
    <row r="45" spans="1:20" x14ac:dyDescent="0.25">
      <c r="B45" s="36"/>
    </row>
    <row r="46" spans="1:20" ht="19.5" thickBot="1" x14ac:dyDescent="0.35">
      <c r="A46" s="199" t="s">
        <v>97</v>
      </c>
      <c r="B46" s="200"/>
      <c r="C46" s="201"/>
      <c r="D46" s="201"/>
      <c r="E46" s="201"/>
      <c r="F46" s="201"/>
      <c r="G46" s="202"/>
      <c r="H46" s="202"/>
      <c r="I46" s="202"/>
      <c r="J46" s="202"/>
    </row>
    <row r="89" spans="1:10" ht="31.5" customHeight="1" x14ac:dyDescent="0.25"/>
    <row r="90" spans="1:10" x14ac:dyDescent="0.25">
      <c r="A90" s="197" t="s">
        <v>45</v>
      </c>
      <c r="B90" s="198"/>
      <c r="C90" s="198"/>
      <c r="D90" s="198"/>
      <c r="E90" s="198"/>
      <c r="F90" s="198"/>
      <c r="G90" s="198"/>
      <c r="H90" s="198"/>
      <c r="I90" s="198"/>
      <c r="J90" s="198"/>
    </row>
    <row r="91" spans="1:10" ht="15.75" x14ac:dyDescent="0.25">
      <c r="A91" s="32" t="s">
        <v>98</v>
      </c>
      <c r="B91" s="32"/>
      <c r="C91" s="32"/>
      <c r="D91" s="32"/>
      <c r="E91" s="32"/>
      <c r="F91" s="32"/>
      <c r="G91" s="32"/>
      <c r="H91" s="32"/>
      <c r="I91" s="214" t="str">
        <f>I44</f>
        <v>Version- 12.27.2021</v>
      </c>
      <c r="J91" s="214"/>
    </row>
    <row r="92" spans="1:10" ht="15.75" x14ac:dyDescent="0.25">
      <c r="A92" s="62"/>
      <c r="B92" s="62"/>
      <c r="C92" s="62"/>
      <c r="D92" s="62"/>
      <c r="E92" s="62"/>
      <c r="F92" s="62"/>
      <c r="G92" s="62"/>
      <c r="H92" s="62"/>
      <c r="I92" s="62"/>
      <c r="J92" s="62"/>
    </row>
    <row r="93" spans="1:10" ht="19.5" thickBot="1" x14ac:dyDescent="0.35">
      <c r="A93" s="199" t="s">
        <v>97</v>
      </c>
      <c r="B93" s="200"/>
      <c r="C93" s="201"/>
      <c r="D93" s="201"/>
      <c r="E93" s="201"/>
      <c r="F93" s="201"/>
      <c r="G93" s="202"/>
      <c r="H93" s="202"/>
      <c r="I93" s="202"/>
      <c r="J93" s="202"/>
    </row>
    <row r="94" spans="1:10" ht="15.75" x14ac:dyDescent="0.25">
      <c r="A94" s="63" t="s">
        <v>91</v>
      </c>
    </row>
    <row r="96" spans="1:10" ht="15.75" thickBot="1" x14ac:dyDescent="0.3">
      <c r="A96" s="48" t="s">
        <v>101</v>
      </c>
      <c r="B96" s="47" t="s">
        <v>73</v>
      </c>
      <c r="C96" s="47"/>
      <c r="D96" s="47"/>
      <c r="E96" s="47"/>
    </row>
    <row r="97" spans="1:4" x14ac:dyDescent="0.25">
      <c r="A97" s="28"/>
      <c r="B97" s="16" t="s">
        <v>17</v>
      </c>
      <c r="C97" s="16" t="s">
        <v>3</v>
      </c>
    </row>
    <row r="98" spans="1:4" x14ac:dyDescent="0.25">
      <c r="A98" s="44" t="s">
        <v>109</v>
      </c>
      <c r="B98" s="57">
        <f>Feed!I20</f>
        <v>1.5</v>
      </c>
      <c r="C98" s="6" t="s">
        <v>57</v>
      </c>
      <c r="D98" s="6"/>
    </row>
    <row r="99" spans="1:4" x14ac:dyDescent="0.25">
      <c r="A99" s="44" t="s">
        <v>82</v>
      </c>
      <c r="B99" s="57">
        <f>Feed!I21</f>
        <v>0</v>
      </c>
      <c r="C99" s="6" t="s">
        <v>57</v>
      </c>
      <c r="D99" s="6"/>
    </row>
    <row r="100" spans="1:4" x14ac:dyDescent="0.25">
      <c r="A100" s="44" t="s">
        <v>55</v>
      </c>
      <c r="B100" s="57">
        <f>Feed!I22</f>
        <v>1.5</v>
      </c>
      <c r="C100" s="6" t="s">
        <v>57</v>
      </c>
      <c r="D100" s="6"/>
    </row>
    <row r="101" spans="1:4" x14ac:dyDescent="0.25">
      <c r="A101" t="s">
        <v>81</v>
      </c>
      <c r="B101" s="57">
        <f>Feed!I23</f>
        <v>3</v>
      </c>
      <c r="C101" s="6" t="s">
        <v>57</v>
      </c>
      <c r="D101" s="6"/>
    </row>
    <row r="102" spans="1:4" x14ac:dyDescent="0.25">
      <c r="A102" s="44" t="s">
        <v>58</v>
      </c>
      <c r="B102" s="57">
        <f>Feed!I24</f>
        <v>17</v>
      </c>
      <c r="C102" s="6" t="s">
        <v>57</v>
      </c>
      <c r="D102" s="6"/>
    </row>
    <row r="103" spans="1:4" x14ac:dyDescent="0.25">
      <c r="A103" s="44" t="s">
        <v>59</v>
      </c>
      <c r="B103" s="57">
        <f>Feed!I25</f>
        <v>5</v>
      </c>
      <c r="C103" s="6" t="s">
        <v>57</v>
      </c>
      <c r="D103" s="6"/>
    </row>
    <row r="104" spans="1:4" x14ac:dyDescent="0.25">
      <c r="A104" s="44" t="s">
        <v>60</v>
      </c>
      <c r="B104" s="57">
        <f>Feed!I26</f>
        <v>0</v>
      </c>
      <c r="C104" s="6" t="s">
        <v>57</v>
      </c>
      <c r="D104" s="6"/>
    </row>
    <row r="105" spans="1:4" x14ac:dyDescent="0.25">
      <c r="A105" t="s">
        <v>80</v>
      </c>
      <c r="B105" s="57">
        <f>Feed!I27</f>
        <v>22</v>
      </c>
      <c r="C105" s="6" t="s">
        <v>57</v>
      </c>
      <c r="D105" s="45"/>
    </row>
    <row r="106" spans="1:4" x14ac:dyDescent="0.25">
      <c r="A106" t="s">
        <v>43</v>
      </c>
      <c r="B106" s="67">
        <f>Feed!I28</f>
        <v>0.5</v>
      </c>
      <c r="C106" s="6" t="s">
        <v>57</v>
      </c>
    </row>
    <row r="113" spans="1:6" ht="15.75" thickBot="1" x14ac:dyDescent="0.3">
      <c r="A113" s="48" t="s">
        <v>113</v>
      </c>
      <c r="B113" s="47"/>
      <c r="C113" s="47"/>
      <c r="D113" s="47"/>
      <c r="E113" s="47"/>
      <c r="F113" s="47"/>
    </row>
    <row r="114" spans="1:6" ht="25.5" customHeight="1" x14ac:dyDescent="0.25">
      <c r="A114" s="59"/>
      <c r="B114" s="173" t="str">
        <f>Prices!A1</f>
        <v>2022 Production Year</v>
      </c>
      <c r="C114" s="209" t="s">
        <v>92</v>
      </c>
      <c r="D114" s="209"/>
    </row>
    <row r="115" spans="1:6" x14ac:dyDescent="0.25">
      <c r="A115" t="str">
        <f>Prices!A5</f>
        <v>Corn ($/bu)</v>
      </c>
      <c r="B115" s="60">
        <f>Prices!B5</f>
        <v>6.16</v>
      </c>
      <c r="C115" s="215">
        <f>Prices!C5</f>
        <v>3.55</v>
      </c>
      <c r="D115" s="215"/>
    </row>
    <row r="116" spans="1:6" x14ac:dyDescent="0.25">
      <c r="A116" t="str">
        <f>Prices!A6</f>
        <v>Soybean Meal ($/ton)</v>
      </c>
      <c r="B116" s="60">
        <f>Prices!B6</f>
        <v>384.9</v>
      </c>
      <c r="C116" s="204">
        <f>Prices!C6</f>
        <v>341</v>
      </c>
      <c r="D116" s="204"/>
    </row>
    <row r="117" spans="1:6" x14ac:dyDescent="0.25">
      <c r="A117" t="str">
        <f>Prices!A7</f>
        <v>DDGS ($/ton)</v>
      </c>
      <c r="B117" s="60">
        <f>Prices!B7</f>
        <v>235</v>
      </c>
      <c r="C117" s="204">
        <f>Prices!C7</f>
        <v>135.43019480519482</v>
      </c>
      <c r="D117" s="204"/>
    </row>
    <row r="118" spans="1:6" x14ac:dyDescent="0.25">
      <c r="A118" t="str">
        <f>Prices!A9</f>
        <v>Silage ($/ton)</v>
      </c>
      <c r="B118" s="60">
        <f>Prices!B9</f>
        <v>49.28</v>
      </c>
      <c r="C118" s="204">
        <f>Prices!C9</f>
        <v>28.4</v>
      </c>
      <c r="D118" s="204"/>
    </row>
    <row r="119" spans="1:6" x14ac:dyDescent="0.25">
      <c r="A119" t="str">
        <f>Prices!A10</f>
        <v>Prairie Hay ($/ton)</v>
      </c>
      <c r="B119" s="60">
        <f>Prices!B10</f>
        <v>125</v>
      </c>
      <c r="C119" s="204">
        <f>Prices!C10</f>
        <v>72.037337662337663</v>
      </c>
      <c r="D119" s="204"/>
    </row>
    <row r="120" spans="1:6" x14ac:dyDescent="0.25">
      <c r="A120" t="str">
        <f>Prices!A11</f>
        <v>Alfalfa ($/ton)</v>
      </c>
      <c r="B120" s="60">
        <f>Prices!B11</f>
        <v>145</v>
      </c>
      <c r="C120" s="204">
        <f>Prices!C11</f>
        <v>83.563311688311686</v>
      </c>
      <c r="D120" s="204"/>
    </row>
    <row r="121" spans="1:6" x14ac:dyDescent="0.25">
      <c r="A121" t="str">
        <f>Prices!A15</f>
        <v>Other Beef Mineral ($/ton)</v>
      </c>
      <c r="B121" s="60">
        <f>Prices!B15</f>
        <v>650</v>
      </c>
      <c r="C121" s="204">
        <f>Prices!C15</f>
        <v>715.00000000000011</v>
      </c>
      <c r="D121" s="204"/>
    </row>
    <row r="122" spans="1:6" x14ac:dyDescent="0.25">
      <c r="A122" t="str">
        <f>Prices!A20</f>
        <v>July Feeder Steers ($/cwt)***</v>
      </c>
      <c r="B122" s="60">
        <f>Prices!B20</f>
        <v>178</v>
      </c>
      <c r="C122" s="204">
        <f>Prices!C20</f>
        <v>145</v>
      </c>
      <c r="D122" s="204"/>
    </row>
    <row r="123" spans="1:6" x14ac:dyDescent="0.25">
      <c r="A123" t="str">
        <f>Prices!A21</f>
        <v>Dec. Fed Cattle ($/cwt)****</v>
      </c>
      <c r="B123" s="60">
        <f>Prices!B21</f>
        <v>140</v>
      </c>
      <c r="C123" s="204">
        <f>Prices!C21</f>
        <v>114.61</v>
      </c>
      <c r="D123" s="204"/>
    </row>
    <row r="124" spans="1:6" x14ac:dyDescent="0.25">
      <c r="B124" s="60"/>
      <c r="C124" s="204"/>
      <c r="D124" s="204"/>
    </row>
    <row r="125" spans="1:6" ht="14.25" customHeight="1" x14ac:dyDescent="0.25">
      <c r="A125" t="str">
        <f>Prices!A27</f>
        <v>***This is a predicted price for the production year</v>
      </c>
      <c r="B125" s="60"/>
      <c r="C125" s="64"/>
      <c r="D125" s="65"/>
      <c r="E125" s="64"/>
      <c r="F125" s="65"/>
    </row>
    <row r="126" spans="1:6" x14ac:dyDescent="0.25">
      <c r="A126" t="str">
        <f>Prices!A28</f>
        <v>****This a predicted price for a Dec. sale of a fed animal</v>
      </c>
      <c r="B126" s="60"/>
      <c r="C126" s="64"/>
      <c r="D126" s="65"/>
      <c r="E126" s="64"/>
      <c r="F126" s="65"/>
    </row>
    <row r="127" spans="1:6" x14ac:dyDescent="0.25">
      <c r="B127" s="60"/>
      <c r="C127" s="64"/>
      <c r="D127" s="65"/>
      <c r="E127" s="64"/>
      <c r="F127" s="65"/>
    </row>
    <row r="128" spans="1:6" x14ac:dyDescent="0.25">
      <c r="B128" s="60"/>
      <c r="C128" s="64"/>
      <c r="D128" s="65"/>
      <c r="E128" s="64"/>
      <c r="F128" s="65"/>
    </row>
    <row r="129" spans="1:10" ht="60" customHeight="1" x14ac:dyDescent="0.25">
      <c r="B129" s="60"/>
      <c r="C129" s="64"/>
      <c r="D129" s="65"/>
      <c r="E129" s="64"/>
      <c r="F129" s="65"/>
    </row>
    <row r="130" spans="1:10" x14ac:dyDescent="0.25">
      <c r="B130" s="60"/>
      <c r="C130" s="64"/>
      <c r="D130" s="65"/>
      <c r="E130" s="64"/>
      <c r="F130" s="65"/>
    </row>
    <row r="131" spans="1:10" x14ac:dyDescent="0.25">
      <c r="A131" s="197" t="s">
        <v>45</v>
      </c>
      <c r="B131" s="198"/>
      <c r="C131" s="198"/>
      <c r="D131" s="198"/>
      <c r="E131" s="198"/>
      <c r="F131" s="198"/>
      <c r="G131" s="198"/>
      <c r="H131" s="198"/>
      <c r="I131" s="198"/>
      <c r="J131" s="198"/>
    </row>
    <row r="132" spans="1:10" ht="15.75" x14ac:dyDescent="0.25">
      <c r="A132" s="32" t="s">
        <v>98</v>
      </c>
      <c r="B132" s="32"/>
      <c r="C132" s="32"/>
      <c r="D132" s="32"/>
      <c r="E132" s="32"/>
      <c r="F132" s="32"/>
      <c r="G132" s="32"/>
      <c r="H132" s="32"/>
      <c r="I132" s="214" t="str">
        <f>I91</f>
        <v>Version- 12.27.2021</v>
      </c>
      <c r="J132" s="214"/>
    </row>
  </sheetData>
  <sheetProtection algorithmName="SHA-512" hashValue="aWr0xM/sVtrcLXp9+RHNRxDeo6CqiF4G6G/yscJM6SDL5bfi0elE0NfBj2JNEfRWoEUVeziv2MvVFdXzhenI8A==" saltValue="s2cnmBFaWQqFQqYK8kw0jw==" spinCount="100000" sheet="1" objects="1" scenarios="1"/>
  <mergeCells count="29">
    <mergeCell ref="L2:T2"/>
    <mergeCell ref="I132:J132"/>
    <mergeCell ref="C121:D121"/>
    <mergeCell ref="A131:J131"/>
    <mergeCell ref="A46:B46"/>
    <mergeCell ref="G93:J93"/>
    <mergeCell ref="G46:J46"/>
    <mergeCell ref="A90:J90"/>
    <mergeCell ref="A93:B93"/>
    <mergeCell ref="C93:F93"/>
    <mergeCell ref="C122:D122"/>
    <mergeCell ref="C123:D123"/>
    <mergeCell ref="C124:D124"/>
    <mergeCell ref="C118:D118"/>
    <mergeCell ref="C119:D119"/>
    <mergeCell ref="C120:D120"/>
    <mergeCell ref="I44:J44"/>
    <mergeCell ref="I91:J91"/>
    <mergeCell ref="C117:D117"/>
    <mergeCell ref="C114:D114"/>
    <mergeCell ref="C115:D115"/>
    <mergeCell ref="C116:D116"/>
    <mergeCell ref="C46:F46"/>
    <mergeCell ref="A1:B1"/>
    <mergeCell ref="C1:F1"/>
    <mergeCell ref="G1:J1"/>
    <mergeCell ref="C5:E5"/>
    <mergeCell ref="A43:J43"/>
    <mergeCell ref="I4:J4"/>
  </mergeCells>
  <dataValidations count="1">
    <dataValidation type="list" showInputMessage="1" showErrorMessage="1" prompt="Select a price horizon to budget from" sqref="C1">
      <formula1>price_selections</formula1>
    </dataValidation>
  </dataValidations>
  <pageMargins left="0.5" right="0.5" top="0.75" bottom="0.5" header="0.3" footer="0"/>
  <pageSetup scale="92" orientation="portrait" horizontalDpi="4294967295" verticalDpi="4294967295" r:id="rId1"/>
  <headerFooter>
    <oddHeader>&amp;L&amp;"-,Bold"&amp;20FARM MANAGEMENT GUIDE</oddHeader>
  </headerFooter>
  <rowBreaks count="2" manualBreakCount="2">
    <brk id="44" max="9" man="1"/>
    <brk id="9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405" r:id="rId4" name="Button 21">
              <controlPr defaultSize="0" print="0" autoFill="0" autoPict="0" macro="[0]!PrintFinishingBudget">
                <anchor moveWithCells="1">
                  <from>
                    <xdr:col>10</xdr:col>
                    <xdr:colOff>609600</xdr:colOff>
                    <xdr:row>4</xdr:row>
                    <xdr:rowOff>38100</xdr:rowOff>
                  </from>
                  <to>
                    <xdr:col>14</xdr:col>
                    <xdr:colOff>447675</xdr:colOff>
                    <xdr:row>6</xdr:row>
                    <xdr:rowOff>9525</xdr:rowOff>
                  </to>
                </anchor>
              </controlPr>
            </control>
          </mc:Choice>
        </mc:AlternateContent>
        <mc:AlternateContent xmlns:mc="http://schemas.openxmlformats.org/markup-compatibility/2006">
          <mc:Choice Requires="x14">
            <control shapeId="16406" r:id="rId5" name="Button 22">
              <controlPr defaultSize="0" print="0" autoFill="0" autoPict="0" macro="[0]!PrintFinishingPage">
                <anchor moveWithCells="1" sizeWithCells="1">
                  <from>
                    <xdr:col>11</xdr:col>
                    <xdr:colOff>9525</xdr:colOff>
                    <xdr:row>6</xdr:row>
                    <xdr:rowOff>180975</xdr:rowOff>
                  </from>
                  <to>
                    <xdr:col>14</xdr:col>
                    <xdr:colOff>466725</xdr:colOff>
                    <xdr:row>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Prices</vt:lpstr>
      <vt:lpstr>Feed</vt:lpstr>
      <vt:lpstr>Cow-Calf</vt:lpstr>
      <vt:lpstr>Backgrounding</vt:lpstr>
      <vt:lpstr>Stocker</vt:lpstr>
      <vt:lpstr>Feedlot</vt:lpstr>
      <vt:lpstr>price_selections</vt:lpstr>
      <vt:lpstr>Backgrounding!Print_Area</vt:lpstr>
      <vt:lpstr>'Cow-Calf'!Print_Area</vt:lpstr>
      <vt:lpstr>Feed!Print_Area</vt:lpstr>
      <vt:lpstr>Feedlot!Print_Area</vt:lpstr>
      <vt:lpstr>Introduction!Print_Area</vt:lpstr>
      <vt:lpstr>Prices!Print_Area</vt:lpstr>
      <vt:lpstr>Stocker!Print_Area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Tonsor</dc:creator>
  <cp:lastModifiedBy>GTonsor</cp:lastModifiedBy>
  <cp:lastPrinted>2019-12-02T19:11:15Z</cp:lastPrinted>
  <dcterms:created xsi:type="dcterms:W3CDTF">2015-02-05T18:15:32Z</dcterms:created>
  <dcterms:modified xsi:type="dcterms:W3CDTF">2021-12-27T19:03:13Z</dcterms:modified>
</cp:coreProperties>
</file>