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mc:AlternateContent xmlns:mc="http://schemas.openxmlformats.org/markup-compatibility/2006">
    <mc:Choice Requires="x15">
      <x15ac:absPath xmlns:x15ac="http://schemas.microsoft.com/office/spreadsheetml/2010/11/ac" url="C:\Users\RobinReid\Dropbox\Livestock Farm Management Guides\December 2019 Updates\"/>
    </mc:Choice>
  </mc:AlternateContent>
  <xr:revisionPtr revIDLastSave="0" documentId="13_ncr:1_{866407BF-1A47-4E60-A64F-776C4F8AA123}" xr6:coauthVersionLast="41" xr6:coauthVersionMax="41" xr10:uidLastSave="{00000000-0000-0000-0000-000000000000}"/>
  <bookViews>
    <workbookView xWindow="57480" yWindow="-120" windowWidth="29040" windowHeight="15225" xr2:uid="{00000000-000D-0000-FFFF-FFFF00000000}"/>
  </bookViews>
  <sheets>
    <sheet name="Introduction" sheetId="14" r:id="rId1"/>
    <sheet name="Prices" sheetId="2" r:id="rId2"/>
    <sheet name="Cow Milking-Purchased Replmts" sheetId="3" r:id="rId3"/>
    <sheet name="Cow Milking-Raised Replmts" sheetId="12" r:id="rId4"/>
    <sheet name="Replacement Heifers" sheetId="13" r:id="rId5"/>
    <sheet name="Heifer Costs WI Report" sheetId="9" state="hidden" r:id="rId6"/>
    <sheet name="Costs" sheetId="10" state="hidden" r:id="rId7"/>
    <sheet name="Manure Credit" sheetId="4" state="hidden" r:id="rId8"/>
  </sheets>
  <externalReferences>
    <externalReference r:id="rId9"/>
    <externalReference r:id="rId10"/>
  </externalReferences>
  <definedNames>
    <definedName name="data">[1]kcd!$B$10:$AZ$1374</definedName>
    <definedName name="price_selections">[2]Prices!$A$1:$A$3</definedName>
    <definedName name="Prices">Prices!$A$1:$A$3</definedName>
    <definedName name="_xlnm.Print_Area" localSheetId="2">'Cow Milking-Purchased Replmts'!$A$1:$K$129</definedName>
    <definedName name="_xlnm.Print_Area" localSheetId="3">'Cow Milking-Raised Replmts'!$A$1:$K$140</definedName>
    <definedName name="_xlnm.Print_Area" localSheetId="0">Introduction!$A$1:$M$52</definedName>
    <definedName name="_xlnm.Print_Area" localSheetId="4">'Replacement Heifers'!$A$1:$J$131</definedName>
    <definedName name="Z_7F8F69BA_F1D1_4483_B535_1A9BCCCC12B7_.wvu.PrintArea" localSheetId="0" hidden="1">Introduction!$B$2:$L$43</definedName>
    <definedName name="Z_7F8F69BA_F1D1_4483_B535_1A9BCCCC12B7_.wvu.Rows" localSheetId="0" hidden="1">Introduction!#REF!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2" l="1"/>
  <c r="J15" i="12" s="1"/>
  <c r="H8" i="13" l="1"/>
  <c r="F11" i="2" l="1"/>
  <c r="E11" i="2"/>
  <c r="C11" i="2"/>
  <c r="I44" i="13" l="1"/>
  <c r="J49" i="12"/>
  <c r="J47" i="3"/>
  <c r="G9" i="2" l="1"/>
  <c r="G11" i="2" s="1"/>
  <c r="D9" i="2"/>
  <c r="D11" i="2" s="1"/>
  <c r="B9" i="2"/>
  <c r="B11" i="2" s="1"/>
  <c r="B10" i="2" l="1"/>
  <c r="B21" i="12"/>
  <c r="B17" i="3"/>
  <c r="G10" i="2"/>
  <c r="D10" i="2"/>
  <c r="H14" i="12" l="1"/>
  <c r="H13" i="12"/>
  <c r="K36" i="3"/>
  <c r="A103" i="13" l="1"/>
  <c r="J36" i="13"/>
  <c r="J19" i="13"/>
  <c r="A116" i="12"/>
  <c r="B116" i="12"/>
  <c r="E116" i="12"/>
  <c r="A117" i="12"/>
  <c r="B117" i="12"/>
  <c r="E117" i="12"/>
  <c r="A118" i="12"/>
  <c r="B118" i="12"/>
  <c r="A121" i="12"/>
  <c r="J41" i="12" l="1"/>
  <c r="K31" i="12"/>
  <c r="J24" i="12" l="1"/>
  <c r="K24" i="12" s="1"/>
  <c r="H20" i="12"/>
  <c r="C5" i="4"/>
  <c r="J21" i="3"/>
  <c r="K21" i="3" s="1"/>
  <c r="J38" i="3" l="1"/>
  <c r="K28" i="3"/>
  <c r="B103" i="13" l="1"/>
  <c r="J21" i="12" l="1"/>
  <c r="K21" i="12" s="1"/>
  <c r="J17" i="3"/>
  <c r="J17" i="13" l="1"/>
  <c r="B20" i="12"/>
  <c r="J20" i="12" s="1"/>
  <c r="B121" i="12"/>
  <c r="K26" i="12"/>
  <c r="A111" i="13" l="1"/>
  <c r="A110" i="13"/>
  <c r="B109" i="13"/>
  <c r="A109" i="13"/>
  <c r="B108" i="13"/>
  <c r="A108" i="13"/>
  <c r="B107" i="13"/>
  <c r="A107" i="13"/>
  <c r="B106" i="13"/>
  <c r="A106" i="13"/>
  <c r="E105" i="13"/>
  <c r="B105" i="13"/>
  <c r="A105" i="13"/>
  <c r="A102" i="13"/>
  <c r="B101" i="13"/>
  <c r="A101" i="13"/>
  <c r="B100" i="13"/>
  <c r="A100" i="13"/>
  <c r="E99" i="13"/>
  <c r="B99" i="13"/>
  <c r="A99" i="13"/>
  <c r="E98" i="13"/>
  <c r="B98" i="13"/>
  <c r="A98" i="13"/>
  <c r="I91" i="13"/>
  <c r="I131" i="13" s="1"/>
  <c r="J18" i="13"/>
  <c r="J29" i="13" s="1"/>
  <c r="J38" i="13" s="1"/>
  <c r="B13" i="13"/>
  <c r="J13" i="13" s="1"/>
  <c r="H10" i="13"/>
  <c r="H9" i="13"/>
  <c r="B8" i="13"/>
  <c r="J8" i="13" s="1"/>
  <c r="H1" i="13"/>
  <c r="B11" i="12"/>
  <c r="K20" i="12" l="1"/>
  <c r="A129" i="12" l="1"/>
  <c r="A128" i="12"/>
  <c r="B127" i="12"/>
  <c r="A127" i="12"/>
  <c r="B126" i="12"/>
  <c r="A126" i="12"/>
  <c r="B125" i="12"/>
  <c r="A125" i="12"/>
  <c r="B124" i="12"/>
  <c r="A124" i="12"/>
  <c r="E123" i="12"/>
  <c r="B123" i="12"/>
  <c r="A123" i="12"/>
  <c r="A120" i="12"/>
  <c r="B119" i="12"/>
  <c r="A119" i="12"/>
  <c r="J96" i="12"/>
  <c r="J140" i="12" s="1"/>
  <c r="K40" i="12"/>
  <c r="K39" i="12"/>
  <c r="K32" i="12"/>
  <c r="K38" i="12"/>
  <c r="K37" i="12"/>
  <c r="K33" i="12"/>
  <c r="K30" i="12"/>
  <c r="K29" i="12"/>
  <c r="K28" i="12"/>
  <c r="K27" i="12"/>
  <c r="K25" i="12"/>
  <c r="J23" i="12"/>
  <c r="K22" i="12"/>
  <c r="K16" i="12"/>
  <c r="H12" i="12"/>
  <c r="B12" i="12"/>
  <c r="E11" i="12"/>
  <c r="K10" i="12"/>
  <c r="E10" i="12"/>
  <c r="J10" i="12" s="1"/>
  <c r="E9" i="12"/>
  <c r="B9" i="12"/>
  <c r="K9" i="12" s="1"/>
  <c r="I1" i="12"/>
  <c r="K37" i="3"/>
  <c r="K29" i="3"/>
  <c r="K30" i="3"/>
  <c r="K25" i="3"/>
  <c r="K23" i="12" l="1"/>
  <c r="K34" i="12" s="1"/>
  <c r="J34" i="12"/>
  <c r="J43" i="12" s="1"/>
  <c r="J9" i="12"/>
  <c r="J12" i="12"/>
  <c r="K41" i="12"/>
  <c r="J11" i="12"/>
  <c r="K11" i="12" s="1"/>
  <c r="K43" i="12" l="1"/>
  <c r="K12" i="12"/>
  <c r="E4" i="10" l="1"/>
  <c r="C4" i="10" s="1"/>
  <c r="F4" i="10" s="1"/>
  <c r="G4" i="10" s="1"/>
  <c r="B3" i="10"/>
  <c r="E20" i="10"/>
  <c r="C20" i="10" s="1"/>
  <c r="F20" i="10" s="1"/>
  <c r="G20" i="10" s="1"/>
  <c r="E19" i="10"/>
  <c r="C19" i="10" s="1"/>
  <c r="F19" i="10" s="1"/>
  <c r="G19" i="10" s="1"/>
  <c r="K35" i="3"/>
  <c r="B18" i="10"/>
  <c r="E18" i="10"/>
  <c r="E17" i="10"/>
  <c r="C17" i="10" s="1"/>
  <c r="F17" i="10" s="1"/>
  <c r="G17" i="10" s="1"/>
  <c r="K34" i="3"/>
  <c r="B14" i="10"/>
  <c r="E14" i="10"/>
  <c r="B13" i="10"/>
  <c r="E13" i="10"/>
  <c r="K24" i="3"/>
  <c r="E12" i="10"/>
  <c r="C12" i="10" s="1"/>
  <c r="F12" i="10" s="1"/>
  <c r="G12" i="10" s="1"/>
  <c r="E8" i="10"/>
  <c r="C8" i="10" s="1"/>
  <c r="F8" i="10" s="1"/>
  <c r="G8" i="10" s="1"/>
  <c r="B7" i="10"/>
  <c r="E5" i="10"/>
  <c r="E6" i="10"/>
  <c r="E3" i="10"/>
  <c r="C3" i="10" s="1"/>
  <c r="F3" i="10" s="1"/>
  <c r="G3" i="10" s="1"/>
  <c r="D7" i="10"/>
  <c r="E15" i="10"/>
  <c r="I12" i="9"/>
  <c r="M12" i="9" s="1"/>
  <c r="K27" i="3"/>
  <c r="J20" i="3"/>
  <c r="K20" i="3" s="1"/>
  <c r="I37" i="9"/>
  <c r="I31" i="9"/>
  <c r="I32" i="9"/>
  <c r="I33" i="9"/>
  <c r="I34" i="9"/>
  <c r="I36" i="9"/>
  <c r="I38" i="9"/>
  <c r="K38" i="9" s="1"/>
  <c r="I6" i="9"/>
  <c r="I7" i="9"/>
  <c r="I8" i="9"/>
  <c r="I9" i="9"/>
  <c r="I10" i="9"/>
  <c r="I11" i="9"/>
  <c r="I13" i="9"/>
  <c r="M13" i="9" s="1"/>
  <c r="I17" i="9"/>
  <c r="I18" i="9"/>
  <c r="I19" i="9"/>
  <c r="I24" i="9"/>
  <c r="E21" i="9"/>
  <c r="E15" i="9"/>
  <c r="B5" i="9"/>
  <c r="B15" i="9" s="1"/>
  <c r="B21" i="9"/>
  <c r="E103" i="3"/>
  <c r="E108" i="3"/>
  <c r="B108" i="3"/>
  <c r="B109" i="3"/>
  <c r="B110" i="3"/>
  <c r="B111" i="3"/>
  <c r="B112" i="3"/>
  <c r="B103" i="3"/>
  <c r="B104" i="3"/>
  <c r="B105" i="3"/>
  <c r="A103" i="3"/>
  <c r="A104" i="3"/>
  <c r="A105" i="3"/>
  <c r="A106" i="3"/>
  <c r="A108" i="3"/>
  <c r="A109" i="3"/>
  <c r="A110" i="3"/>
  <c r="A111" i="3"/>
  <c r="A112" i="3"/>
  <c r="A102" i="3"/>
  <c r="B102" i="3"/>
  <c r="K9" i="3"/>
  <c r="E9" i="3"/>
  <c r="J9" i="3" s="1"/>
  <c r="K13" i="3"/>
  <c r="K19" i="3"/>
  <c r="K23" i="3"/>
  <c r="K26" i="3"/>
  <c r="E102" i="3"/>
  <c r="J94" i="3"/>
  <c r="J129" i="3" s="1"/>
  <c r="I1" i="3"/>
  <c r="B18" i="3"/>
  <c r="H39" i="4"/>
  <c r="H44" i="4" s="1"/>
  <c r="B10" i="10"/>
  <c r="B11" i="3"/>
  <c r="B8" i="3"/>
  <c r="K8" i="3" s="1"/>
  <c r="B10" i="3"/>
  <c r="E10" i="3"/>
  <c r="L7" i="4"/>
  <c r="L15" i="4" s="1"/>
  <c r="L32" i="4" s="1"/>
  <c r="H37" i="4" s="1"/>
  <c r="H42" i="4" s="1"/>
  <c r="H7" i="4"/>
  <c r="H16" i="4" s="1"/>
  <c r="E18" i="3"/>
  <c r="H11" i="3"/>
  <c r="G4" i="2"/>
  <c r="D4" i="2"/>
  <c r="B4" i="2"/>
  <c r="E8" i="3"/>
  <c r="H14" i="4" l="1"/>
  <c r="I21" i="9"/>
  <c r="E7" i="10"/>
  <c r="C7" i="10" s="1"/>
  <c r="F7" i="10" s="1"/>
  <c r="G7" i="10" s="1"/>
  <c r="C14" i="10"/>
  <c r="F14" i="10" s="1"/>
  <c r="G14" i="10" s="1"/>
  <c r="J19" i="9"/>
  <c r="K19" i="9" s="1"/>
  <c r="L14" i="4"/>
  <c r="L31" i="4" s="1"/>
  <c r="H36" i="4" s="1"/>
  <c r="H41" i="4" s="1"/>
  <c r="H45" i="4" s="1"/>
  <c r="C13" i="10"/>
  <c r="F13" i="10" s="1"/>
  <c r="G13" i="10" s="1"/>
  <c r="C18" i="10"/>
  <c r="F18" i="10" s="1"/>
  <c r="G18" i="10" s="1"/>
  <c r="L16" i="4"/>
  <c r="L33" i="4" s="1"/>
  <c r="H38" i="4" s="1"/>
  <c r="E23" i="9"/>
  <c r="E25" i="9" s="1"/>
  <c r="M19" i="9"/>
  <c r="L19" i="9"/>
  <c r="B23" i="9"/>
  <c r="I15" i="9"/>
  <c r="I5" i="9"/>
  <c r="K38" i="3"/>
  <c r="B102" i="13"/>
  <c r="B120" i="12"/>
  <c r="B106" i="3"/>
  <c r="J10" i="3"/>
  <c r="K10" i="3" s="1"/>
  <c r="C6" i="4"/>
  <c r="G39" i="4" s="1"/>
  <c r="G44" i="4" s="1"/>
  <c r="J11" i="3"/>
  <c r="K11" i="3" s="1"/>
  <c r="J18" i="3"/>
  <c r="J31" i="3" s="1"/>
  <c r="J40" i="3" s="1"/>
  <c r="J8" i="3"/>
  <c r="H33" i="4"/>
  <c r="H15" i="4"/>
  <c r="H32" i="4" s="1"/>
  <c r="H31" i="4"/>
  <c r="B11" i="10"/>
  <c r="B15" i="10" s="1"/>
  <c r="C15" i="10" s="1"/>
  <c r="C10" i="10"/>
  <c r="F10" i="10" s="1"/>
  <c r="G10" i="10" s="1"/>
  <c r="K22" i="3"/>
  <c r="N19" i="9" l="1"/>
  <c r="O19" i="9"/>
  <c r="B25" i="9"/>
  <c r="I25" i="9" s="1"/>
  <c r="I23" i="9"/>
  <c r="J14" i="3"/>
  <c r="J42" i="3" s="1"/>
  <c r="K18" i="3"/>
  <c r="C7" i="4"/>
  <c r="C12" i="4" s="1"/>
  <c r="C16" i="4" s="1"/>
  <c r="C21" i="4" s="1"/>
  <c r="E39" i="4"/>
  <c r="E44" i="4" s="1"/>
  <c r="K17" i="3"/>
  <c r="F15" i="10"/>
  <c r="G15" i="10" s="1"/>
  <c r="K31" i="3" l="1"/>
  <c r="K40" i="3" s="1"/>
  <c r="C11" i="4"/>
  <c r="C15" i="4" s="1"/>
  <c r="C20" i="4" s="1"/>
  <c r="D32" i="4" s="1"/>
  <c r="G37" i="4" s="1"/>
  <c r="G42" i="4" s="1"/>
  <c r="C10" i="4"/>
  <c r="C14" i="4" s="1"/>
  <c r="C19" i="4" s="1"/>
  <c r="C31" i="4" s="1"/>
  <c r="E36" i="4" s="1"/>
  <c r="E41" i="4" s="1"/>
  <c r="C33" i="4"/>
  <c r="E38" i="4" s="1"/>
  <c r="E43" i="4" s="1"/>
  <c r="D33" i="4"/>
  <c r="G38" i="4" s="1"/>
  <c r="G43" i="4" s="1"/>
  <c r="C32" i="4" l="1"/>
  <c r="E37" i="4" s="1"/>
  <c r="E42" i="4" s="1"/>
  <c r="E45" i="4" s="1"/>
  <c r="D31" i="4"/>
  <c r="G36" i="4" s="1"/>
  <c r="G41" i="4" s="1"/>
  <c r="G45" i="4" s="1"/>
  <c r="K15" i="12" l="1"/>
  <c r="K12" i="3"/>
  <c r="K14" i="3" s="1"/>
  <c r="K43" i="3" l="1"/>
  <c r="K42" i="3"/>
  <c r="J43" i="3" l="1"/>
  <c r="C117" i="12" l="1"/>
  <c r="C103" i="3"/>
  <c r="C99" i="13"/>
  <c r="C105" i="13"/>
  <c r="C108" i="3"/>
  <c r="C123" i="12"/>
  <c r="B111" i="13" l="1"/>
  <c r="B129" i="12"/>
  <c r="B14" i="12"/>
  <c r="J14" i="12" s="1"/>
  <c r="K14" i="12" s="1"/>
  <c r="B10" i="13"/>
  <c r="J10" i="13" s="1"/>
  <c r="C116" i="12"/>
  <c r="C102" i="3"/>
  <c r="C98" i="13"/>
  <c r="C129" i="12" l="1"/>
  <c r="C111" i="13"/>
  <c r="E118" i="12"/>
  <c r="E104" i="3"/>
  <c r="E100" i="13"/>
  <c r="E112" i="3" l="1"/>
  <c r="E127" i="12"/>
  <c r="E109" i="13"/>
  <c r="E110" i="13"/>
  <c r="E128" i="12"/>
  <c r="B9" i="13"/>
  <c r="J9" i="13" s="1"/>
  <c r="J14" i="13" s="1"/>
  <c r="B110" i="13"/>
  <c r="B13" i="12"/>
  <c r="J13" i="12" s="1"/>
  <c r="B128" i="12"/>
  <c r="E119" i="12"/>
  <c r="E101" i="13"/>
  <c r="E105" i="3"/>
  <c r="C127" i="12" l="1"/>
  <c r="C112" i="3"/>
  <c r="C109" i="13"/>
  <c r="C128" i="12"/>
  <c r="C110" i="13"/>
  <c r="J41" i="13"/>
  <c r="J40" i="13"/>
  <c r="C110" i="3"/>
  <c r="C125" i="12"/>
  <c r="C107" i="13"/>
  <c r="C106" i="13"/>
  <c r="C124" i="12"/>
  <c r="C109" i="3"/>
  <c r="E106" i="3"/>
  <c r="E102" i="13"/>
  <c r="E120" i="12"/>
  <c r="K13" i="12"/>
  <c r="K17" i="12" s="1"/>
  <c r="J17" i="12"/>
  <c r="C111" i="3"/>
  <c r="C108" i="13"/>
  <c r="C126" i="12"/>
  <c r="E103" i="13"/>
  <c r="E121" i="12"/>
  <c r="K45" i="12" l="1"/>
  <c r="K46" i="12"/>
  <c r="C118" i="12"/>
  <c r="C100" i="13"/>
  <c r="C104" i="3"/>
  <c r="J45" i="12"/>
  <c r="J46" i="12"/>
  <c r="C101" i="13" l="1"/>
  <c r="C119" i="12"/>
  <c r="C105" i="3"/>
  <c r="C106" i="3" l="1"/>
  <c r="C102" i="13"/>
  <c r="C120" i="12"/>
  <c r="C103" i="13"/>
  <c r="C121" i="12"/>
  <c r="E111" i="3" l="1"/>
  <c r="E108" i="13"/>
  <c r="E126" i="12"/>
  <c r="E124" i="12"/>
  <c r="E109" i="3"/>
  <c r="E106" i="13"/>
  <c r="E129" i="12" l="1"/>
  <c r="E111" i="13"/>
  <c r="E107" i="13" l="1"/>
  <c r="E125" i="12"/>
  <c r="E1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C36" authorId="0" shapeId="0" xr:uid="{00000000-0006-0000-0700-000001000000}">
      <text>
        <r>
          <rPr>
            <b/>
            <sz val="9"/>
            <color indexed="81"/>
            <rFont val="Tahoma"/>
            <family val="2"/>
          </rPr>
          <t>robinreid:</t>
        </r>
        <r>
          <rPr>
            <sz val="9"/>
            <color indexed="81"/>
            <rFont val="Tahoma"/>
            <family val="2"/>
          </rPr>
          <t xml:space="preserve">
Get updated prices from crop budgets?</t>
        </r>
      </text>
    </comment>
  </commentList>
</comments>
</file>

<file path=xl/sharedStrings.xml><?xml version="1.0" encoding="utf-8"?>
<sst xmlns="http://schemas.openxmlformats.org/spreadsheetml/2006/main" count="521" uniqueCount="262">
  <si>
    <t>Price</t>
  </si>
  <si>
    <t>Current Prices</t>
  </si>
  <si>
    <t>Production Efficiency Information</t>
  </si>
  <si>
    <t>Milk Produced Per Cow (lbs)</t>
  </si>
  <si>
    <t>Returns</t>
  </si>
  <si>
    <t>Unit</t>
  </si>
  <si>
    <t>Qty</t>
  </si>
  <si>
    <t>Milk Sales</t>
  </si>
  <si>
    <t>per cwt</t>
  </si>
  <si>
    <t>x</t>
  </si>
  <si>
    <t>lbs</t>
  </si>
  <si>
    <t>=</t>
  </si>
  <si>
    <t>Calves Sold</t>
  </si>
  <si>
    <t>Cull Cows Sold</t>
  </si>
  <si>
    <t>Manure Credit</t>
  </si>
  <si>
    <t>Other Income</t>
  </si>
  <si>
    <t>Total Gross Return</t>
  </si>
  <si>
    <t>Variable Costs</t>
  </si>
  <si>
    <t>per hour</t>
  </si>
  <si>
    <t>hours</t>
  </si>
  <si>
    <t>Vet Medicine/Drugs</t>
  </si>
  <si>
    <t>Machinery, Facility/Equip. Repairs</t>
  </si>
  <si>
    <t>Other variable costs</t>
  </si>
  <si>
    <t xml:space="preserve">  Total Variable Costs</t>
  </si>
  <si>
    <t>Fixed Costs</t>
  </si>
  <si>
    <t>Depreciation</t>
  </si>
  <si>
    <t>Taxes</t>
  </si>
  <si>
    <t>Farm/Livestock Insurance</t>
  </si>
  <si>
    <t>Opportunity Cost of Investment</t>
  </si>
  <si>
    <t>Other fixed costs</t>
  </si>
  <si>
    <t xml:space="preserve">  Total Fixed Costs</t>
  </si>
  <si>
    <t>Total Costs</t>
  </si>
  <si>
    <t>Income Over Variable Costs</t>
  </si>
  <si>
    <t xml:space="preserve">Income Over Total Costs </t>
  </si>
  <si>
    <r>
      <t xml:space="preserve">Kansas State University, Department of Agricultural Economics - </t>
    </r>
    <r>
      <rPr>
        <b/>
        <i/>
        <sz val="12"/>
        <color rgb="FF7030A0"/>
        <rFont val="Calibri"/>
        <family val="2"/>
        <scheme val="minor"/>
      </rPr>
      <t>www.agmanager.info</t>
    </r>
  </si>
  <si>
    <t>Publication: AM-FMG-Finishing</t>
  </si>
  <si>
    <t>Budget Assumptions</t>
  </si>
  <si>
    <t>Current</t>
  </si>
  <si>
    <t>One Year Out</t>
  </si>
  <si>
    <t>Five Years Out</t>
  </si>
  <si>
    <t>Replacement Heifers</t>
  </si>
  <si>
    <t>One Year Out Prices</t>
  </si>
  <si>
    <t>Five Years Out Prices</t>
  </si>
  <si>
    <t>per head</t>
  </si>
  <si>
    <t>Replacement Heifer Purchases</t>
  </si>
  <si>
    <t>Cull Cows Sales</t>
  </si>
  <si>
    <t>hd</t>
  </si>
  <si>
    <t>Information from Joe based on ASABE formulas</t>
  </si>
  <si>
    <t>Lactation Days</t>
  </si>
  <si>
    <t>days</t>
  </si>
  <si>
    <t>Freestall</t>
  </si>
  <si>
    <t>Drylot</t>
  </si>
  <si>
    <t>Milk production</t>
  </si>
  <si>
    <t>Daily Nutrients Excreted using ASABE Standard Equations</t>
  </si>
  <si>
    <t>Intercept</t>
  </si>
  <si>
    <t>Slope</t>
  </si>
  <si>
    <t>N (gm/day)</t>
  </si>
  <si>
    <t>Concentration of Crude Protein, %</t>
  </si>
  <si>
    <t>P (gm/day)</t>
  </si>
  <si>
    <t>Concentration of  Phosphorus, %</t>
  </si>
  <si>
    <t>K (gm/day)</t>
  </si>
  <si>
    <t>Concentration of Potassium, %</t>
  </si>
  <si>
    <t>N (lbs/day)</t>
  </si>
  <si>
    <t>P (lbs/day)</t>
  </si>
  <si>
    <t>K (lbs/day)</t>
  </si>
  <si>
    <t>Nutrients Excreted per Cow for Lactation Period</t>
  </si>
  <si>
    <t>N (lbs/year)</t>
  </si>
  <si>
    <t>P2O5 (lbs/year)</t>
  </si>
  <si>
    <t>K2O (lbs/year)</t>
  </si>
  <si>
    <t>Percentage of Nutrients Available at Application</t>
  </si>
  <si>
    <t>N Available</t>
  </si>
  <si>
    <t>P Available</t>
  </si>
  <si>
    <t>K Available</t>
  </si>
  <si>
    <t>Pounds of Nutrients Available at Application</t>
  </si>
  <si>
    <t>P2O5 Available</t>
  </si>
  <si>
    <t>K2O Available</t>
  </si>
  <si>
    <t>Pounds/kg</t>
  </si>
  <si>
    <t>Grams/lb</t>
  </si>
  <si>
    <t>Pounds/gallon</t>
  </si>
  <si>
    <t>Phosphorus to Phosphate conversion</t>
  </si>
  <si>
    <t>Potassium to Potash conversion</t>
  </si>
  <si>
    <t>% to credit</t>
  </si>
  <si>
    <t>Dry Period</t>
  </si>
  <si>
    <t>Heifer</t>
  </si>
  <si>
    <t>Daily milk production</t>
  </si>
  <si>
    <t>kg</t>
  </si>
  <si>
    <t>N, lbs/cow/year</t>
  </si>
  <si>
    <t>P2O5, lbs/cow/year</t>
  </si>
  <si>
    <t>K2O, lbs/cow/year</t>
  </si>
  <si>
    <t>Manure application</t>
  </si>
  <si>
    <t>Av. Body Weight</t>
  </si>
  <si>
    <t>DM Intake (lbs)</t>
  </si>
  <si>
    <t>DM Intake (kg)</t>
  </si>
  <si>
    <t>Total Pounds Freestall</t>
  </si>
  <si>
    <t>Total Pounds Drylot</t>
  </si>
  <si>
    <t>Nitrogen</t>
  </si>
  <si>
    <t>Phosphate</t>
  </si>
  <si>
    <t>Potash</t>
  </si>
  <si>
    <t>Application</t>
  </si>
  <si>
    <t>Net</t>
  </si>
  <si>
    <t>Milk Hauling &amp; Promotion</t>
  </si>
  <si>
    <t>Cull Replacements Sold</t>
  </si>
  <si>
    <t>Cull Yearlings Sold</t>
  </si>
  <si>
    <t>Death Loss</t>
  </si>
  <si>
    <t>Springer Heifer Sales</t>
  </si>
  <si>
    <t>%</t>
  </si>
  <si>
    <t>Utilities, Gas, Fuel, Oil</t>
  </si>
  <si>
    <t>Purchase of Heifer Calf</t>
  </si>
  <si>
    <t>Total per Heifer</t>
  </si>
  <si>
    <t>Total per Cow/Year</t>
  </si>
  <si>
    <t>Default Dairy Prices</t>
  </si>
  <si>
    <t>Publication: AM-FMG-Dairy Heifers</t>
  </si>
  <si>
    <t>Publication: AM-FMG-Heifers</t>
  </si>
  <si>
    <t>Total</t>
  </si>
  <si>
    <t>Total for cows</t>
  </si>
  <si>
    <t>Total for heifers</t>
  </si>
  <si>
    <t>Livestock Breeding/Marketing</t>
  </si>
  <si>
    <t>2013 KFMA Values</t>
  </si>
  <si>
    <t>Dairy Expense</t>
  </si>
  <si>
    <t>Total per CWT Milk/Year</t>
  </si>
  <si>
    <t>Feed</t>
  </si>
  <si>
    <t>Notes:</t>
  </si>
  <si>
    <t>Remaining amount to be added to VC</t>
  </si>
  <si>
    <t xml:space="preserve">Click on "Current Prices" to change to "One Year Out Prices " or "Five Years Out Prices"
</t>
  </si>
  <si>
    <t>Milk Premiums</t>
  </si>
  <si>
    <t>per head/day</t>
  </si>
  <si>
    <t>Milk:Feed Ratio</t>
  </si>
  <si>
    <t>Calf</t>
  </si>
  <si>
    <t>Liquid Feed</t>
  </si>
  <si>
    <t>Calf Starter</t>
  </si>
  <si>
    <t>Forage</t>
  </si>
  <si>
    <t>Bedding</t>
  </si>
  <si>
    <t>Veterinary</t>
  </si>
  <si>
    <t>Interest</t>
  </si>
  <si>
    <t>Sum</t>
  </si>
  <si>
    <t>Total Sum</t>
  </si>
  <si>
    <t>Opportunity Cost of Unpaid Labor &amp; Management</t>
  </si>
  <si>
    <t>Return</t>
  </si>
  <si>
    <t>Feed Cost</t>
  </si>
  <si>
    <t>Variable Cost (w/o labor and management)</t>
  </si>
  <si>
    <t>Labor &amp; Management Total</t>
  </si>
  <si>
    <t>Total Fixed Costs</t>
  </si>
  <si>
    <t>Labor/Mngt. Required</t>
  </si>
  <si>
    <t>Hours/calf</t>
  </si>
  <si>
    <t>Weaning Age</t>
  </si>
  <si>
    <t>weeks</t>
  </si>
  <si>
    <t>Days on feed</t>
  </si>
  <si>
    <t>Total Feed</t>
  </si>
  <si>
    <t>Breeding</t>
  </si>
  <si>
    <t>Electric and Fuel</t>
  </si>
  <si>
    <t>Housing</t>
  </si>
  <si>
    <t>Equipment</t>
  </si>
  <si>
    <t>Manure Storage</t>
  </si>
  <si>
    <t>Hours/heifer</t>
  </si>
  <si>
    <t>Months</t>
  </si>
  <si>
    <t>Days</t>
  </si>
  <si>
    <t>Management Labor</t>
  </si>
  <si>
    <t>Daily Labor</t>
  </si>
  <si>
    <t>Cow %</t>
  </si>
  <si>
    <t>Heifer %</t>
  </si>
  <si>
    <t>Paid &amp; Unpaid Labor</t>
  </si>
  <si>
    <t>Paid &amp; Unpaid Management</t>
  </si>
  <si>
    <t>Valued at $13 per hour</t>
  </si>
  <si>
    <t>Valued at $22 per hour</t>
  </si>
  <si>
    <t>DIRTI Total</t>
  </si>
  <si>
    <t>Repairs</t>
  </si>
  <si>
    <t>Insurance</t>
  </si>
  <si>
    <t>Something didn't add up here</t>
  </si>
  <si>
    <t>Used Labor hours * Labor Rate instead of listed Labor costs</t>
  </si>
  <si>
    <t>Total for Heifers (1 Year)</t>
  </si>
  <si>
    <t>Total Labor</t>
  </si>
  <si>
    <t>Total for Heifers was determined based on 2013 Economic Cost and Labor Efficiencies Associated with Raising Dairy Herd Replacements on Wisconsin Dairy Farms and Custom Heifer Raising Operations</t>
  </si>
  <si>
    <t>Total for Heifers was divided by two to get a yearly cost (assuming a two year heifer development budget</t>
  </si>
  <si>
    <t>Total for Cows was determined by taking KFMA values and subtracting the Total for Heifers for 1 year</t>
  </si>
  <si>
    <t xml:space="preserve">Percentages will be used to apply costs going forward from KFMA values. </t>
  </si>
  <si>
    <t>UW-Heifers costs 2013</t>
  </si>
  <si>
    <t>2014 KFMA Values</t>
  </si>
  <si>
    <t>Jan. 2015 ERS has 11.45/cwt</t>
  </si>
  <si>
    <t>Jan. 2015 ERS has $22.87 for total costs</t>
  </si>
  <si>
    <t>Regression from FINBIN</t>
  </si>
  <si>
    <t>Cow Breeding Fees</t>
  </si>
  <si>
    <t>Fuel &amp; Oil</t>
  </si>
  <si>
    <t>Matched to Regression from total labor costs from FINBIN</t>
  </si>
  <si>
    <t>Utilities</t>
  </si>
  <si>
    <t>FINBIN average (regression had low R2)</t>
  </si>
  <si>
    <t>Average from FINBIN (low R2)</t>
  </si>
  <si>
    <t>Average of Labor and Management Charge</t>
  </si>
  <si>
    <t>Average of Regression from both cow worksheets</t>
  </si>
  <si>
    <t>Heifer Feed Cost</t>
  </si>
  <si>
    <t>total cost</t>
  </si>
  <si>
    <t>Replacement Heifer Turnover</t>
  </si>
  <si>
    <t>Breeding Fees</t>
  </si>
  <si>
    <t>FINBIN Regression</t>
  </si>
  <si>
    <t>Average of FINBIN</t>
  </si>
  <si>
    <t>FINBIN regression</t>
  </si>
  <si>
    <t>FINBIN regression of Misc. + Building Leases</t>
  </si>
  <si>
    <t xml:space="preserve"> KSU Dairy Cow Budget- Raised Replacements</t>
  </si>
  <si>
    <t xml:space="preserve"> KSU Dairy Cow Budget-Purchased Replacements</t>
  </si>
  <si>
    <t xml:space="preserve"> KSU Dairy Replacement Heifer Budget</t>
  </si>
  <si>
    <t>Regression of FINBIN Feed Cost per head per day and Milk Produced per Cow to explain daily feed cost</t>
  </si>
  <si>
    <t>Custom Hire</t>
  </si>
  <si>
    <t xml:space="preserve">Regression from FINBIN, includes hoof trimming, hauling manure, etc. </t>
  </si>
  <si>
    <t>Regression from FINBIN, "Supplies" + $30 for BST costs</t>
  </si>
  <si>
    <t>Milk Marketing &amp; Hauling</t>
  </si>
  <si>
    <t>Machinery and Building Leases</t>
  </si>
  <si>
    <t>Regression from FINBIN, Buildings and Equipment</t>
  </si>
  <si>
    <t xml:space="preserve">Daily Labor </t>
  </si>
  <si>
    <t>Cash Interest Paid</t>
  </si>
  <si>
    <t>INTERNAL NOTES:</t>
  </si>
  <si>
    <t>Calves Sold at Birth</t>
  </si>
  <si>
    <t>Repl. Heifer Death Loss</t>
  </si>
  <si>
    <t>Budget</t>
  </si>
  <si>
    <t>Regression of Supplies from FINBIN</t>
  </si>
  <si>
    <t>Heifer Total Feed Cost ($)</t>
  </si>
  <si>
    <t>16% 100 pounds of feed ($)</t>
  </si>
  <si>
    <t>Total Labor FINBIN Regression (Labor hours should be 14 total)</t>
  </si>
  <si>
    <t>FINBIN Regression (isolated spreadsheet)</t>
  </si>
  <si>
    <t>Other Variable Costs</t>
  </si>
  <si>
    <t xml:space="preserve">FINBIN Average of Custom Hire </t>
  </si>
  <si>
    <t>Feed Costs</t>
  </si>
  <si>
    <t>Calculated as 5.5% of total costs ($4,753.09)</t>
  </si>
  <si>
    <t>Calculated as 5.5% of total costs ($4,901.53)</t>
  </si>
  <si>
    <t>Calculated as 5.5% of total costs ($1541)</t>
  </si>
  <si>
    <t>Publication: AM-FMG-Dairy Cows-Purchased</t>
  </si>
  <si>
    <t>Publication: AM-FMG-Dairy Cow-Purchased</t>
  </si>
  <si>
    <t>Cow Feed Cost</t>
  </si>
  <si>
    <t>Publication: AM-FMG-Dairy Cows-Raised</t>
  </si>
  <si>
    <t>Publication: AM-FMG-Dairy Cow-Raised</t>
  </si>
  <si>
    <t>KSU-Dairy Farm Management Guide Budgets</t>
  </si>
  <si>
    <t>INTRODUCTION</t>
  </si>
  <si>
    <t>The Kansas State University cost-return budgets were developed to serve as a barometer of profitability for various livestock industry enterprises.  These budgets are NOT intended to represent any one operation.  Each individual operation should adjust key inputs to reflect their own situation.</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</si>
  <si>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</si>
  <si>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  </t>
    </r>
    <r>
      <rPr>
        <b/>
        <sz val="12"/>
        <color rgb="FF0070C0"/>
        <rFont val="Calibri"/>
        <family val="2"/>
        <scheme val="minor"/>
      </rPr>
      <t>Blue</t>
    </r>
    <r>
      <rPr>
        <sz val="12"/>
        <rFont val="Calibri"/>
        <family val="2"/>
        <scheme val="minor"/>
      </rPr>
      <t xml:space="preserve"> values are inputs that should be changed from the defaults to match your operation.  Black values are automatically calculated.</t>
    </r>
  </si>
  <si>
    <t>FOR MORE INFORMATION:</t>
  </si>
  <si>
    <t>Developed by:</t>
  </si>
  <si>
    <t>Robin Reid</t>
  </si>
  <si>
    <t>Glynn T. Tonsor, Ph.D.</t>
  </si>
  <si>
    <t>Extension Associate</t>
  </si>
  <si>
    <t>Agricultural Economist</t>
  </si>
  <si>
    <t>Department of Agricultural Economics</t>
  </si>
  <si>
    <t>Kansas State University</t>
  </si>
  <si>
    <t>robinreid@ksu.edu</t>
  </si>
  <si>
    <t>gtonsor@k-state.edu</t>
  </si>
  <si>
    <t>785-532-0964</t>
  </si>
  <si>
    <t>785-532-1518</t>
  </si>
  <si>
    <t>Excel spreadsheets for dairy enterprise budgeting to evaluate potential income, costs and profitability</t>
  </si>
  <si>
    <t>120 per cow</t>
  </si>
  <si>
    <t>35 per heifer</t>
  </si>
  <si>
    <t>Version- 12.2.2019</t>
  </si>
  <si>
    <t>Copyright 2019 AgManager.info, K-State Department of Agricultural Economics</t>
  </si>
  <si>
    <t>(as of Dec. 2nd, 2019)</t>
  </si>
  <si>
    <t>(Oct. 2019 USDA)</t>
  </si>
  <si>
    <t>Corn ($/bu)</t>
  </si>
  <si>
    <t>Soybeans ($/bu)</t>
  </si>
  <si>
    <t>Dairy Alfalfa ($/ton)</t>
  </si>
  <si>
    <t>Milk ($/cwt)</t>
  </si>
  <si>
    <t>Replacement Heifers (per hd)</t>
  </si>
  <si>
    <t>Dairy Bull Calves (per hd)</t>
  </si>
  <si>
    <t>Dairy Heifer Calves (per hd)</t>
  </si>
  <si>
    <t>Dairy Cull cow (per cwt)</t>
  </si>
  <si>
    <t>Cull Replacement Heifer (per cwt)</t>
  </si>
  <si>
    <t>Cull Yearling Heifer (per cwt)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</si>
</sst>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164" formatCode="0.0%"/>
    <numFmt numFmtId="165" formatCode="&quot;$&quot;#,##0.0000"/>
    <numFmt numFmtId="166" formatCode="&quot;$&quot;#,##0.00"/>
    <numFmt numFmtId="167" formatCode="0.0"/>
    <numFmt numFmtId="168" formatCode="0.0000"/>
    <numFmt numFmtId="169" formatCode="&quot;$&quot;#,##0"/>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rgb="FF7030A0"/>
      <name val="Calibri"/>
      <family val="2"/>
      <scheme val="minor"/>
    </font>
    <font>
      <b/>
      <i/>
      <sz val="11"/>
      <color rgb="FF7030A0"/>
      <name val="Calibri"/>
      <family val="2"/>
      <scheme val="minor"/>
    </font>
    <font>
      <b/>
      <sz val="11"/>
      <color rgb="FF7030A0"/>
      <name val="Calibri"/>
      <family val="2"/>
      <scheme val="minor"/>
    </font>
    <font>
      <b/>
      <u/>
      <sz val="11"/>
      <color theme="1"/>
      <name val="Calibri"/>
      <family val="2"/>
      <scheme val="minor"/>
    </font>
    <font>
      <b/>
      <sz val="11"/>
      <color rgb="FF0070C0"/>
      <name val="Calibri"/>
      <family val="2"/>
      <scheme val="minor"/>
    </font>
    <font>
      <i/>
      <sz val="11"/>
      <color theme="1"/>
      <name val="Calibri"/>
      <family val="2"/>
      <scheme val="minor"/>
    </font>
    <font>
      <b/>
      <i/>
      <sz val="11"/>
      <color theme="1"/>
      <name val="Calibri"/>
      <family val="2"/>
      <scheme val="minor"/>
    </font>
    <font>
      <b/>
      <sz val="12"/>
      <color rgb="FF7030A0"/>
      <name val="Calibri"/>
      <family val="2"/>
      <scheme val="minor"/>
    </font>
    <font>
      <b/>
      <i/>
      <sz val="12"/>
      <color rgb="FF7030A0"/>
      <name val="Calibri"/>
      <family val="2"/>
      <scheme val="minor"/>
    </font>
    <font>
      <u/>
      <sz val="11"/>
      <color theme="10"/>
      <name val="Calibri"/>
      <family val="2"/>
      <scheme val="minor"/>
    </font>
    <font>
      <b/>
      <sz val="9"/>
      <color indexed="81"/>
      <name val="Tahoma"/>
      <family val="2"/>
    </font>
    <font>
      <sz val="9"/>
      <color indexed="81"/>
      <name val="Tahoma"/>
      <family val="2"/>
    </font>
    <font>
      <sz val="10"/>
      <name val="Arial"/>
      <family val="2"/>
    </font>
    <font>
      <sz val="11"/>
      <color indexed="12"/>
      <name val="Calibri"/>
      <family val="2"/>
      <scheme val="minor"/>
    </font>
    <font>
      <sz val="12"/>
      <name val="Calibri"/>
      <family val="2"/>
      <scheme val="minor"/>
    </font>
    <font>
      <sz val="12"/>
      <color indexed="8"/>
      <name val="Calibri"/>
      <family val="2"/>
      <scheme val="minor"/>
    </font>
    <font>
      <sz val="12"/>
      <color indexed="17"/>
      <name val="Calibri"/>
      <family val="2"/>
      <scheme val="minor"/>
    </font>
    <font>
      <sz val="11"/>
      <color theme="0"/>
      <name val="Calibri"/>
      <family val="2"/>
      <scheme val="minor"/>
    </font>
    <font>
      <b/>
      <sz val="16"/>
      <color theme="1"/>
      <name val="Calibri"/>
      <family val="2"/>
      <scheme val="minor"/>
    </font>
    <font>
      <b/>
      <sz val="11"/>
      <color theme="8"/>
      <name val="Calibri"/>
      <family val="2"/>
      <scheme val="minor"/>
    </font>
    <font>
      <b/>
      <sz val="11"/>
      <color rgb="FF000000"/>
      <name val="Calibri"/>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b/>
      <sz val="12"/>
      <name val="Calibri"/>
      <family val="2"/>
      <scheme val="minor"/>
    </font>
    <font>
      <b/>
      <sz val="12"/>
      <color rgb="FF0070C0"/>
      <name val="Calibri"/>
      <family val="2"/>
      <scheme val="minor"/>
    </font>
    <font>
      <sz val="11"/>
      <name val="Arial"/>
      <family val="2"/>
    </font>
    <font>
      <u/>
      <sz val="10"/>
      <color indexed="12"/>
      <name val="Arial"/>
      <family val="2"/>
    </font>
    <font>
      <u/>
      <sz val="12"/>
      <color indexed="12"/>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43"/>
        <bgColor indexed="64"/>
      </patternFill>
    </fill>
    <fill>
      <patternFill patternType="solid">
        <fgColor indexed="41"/>
        <bgColor indexed="64"/>
      </patternFill>
    </fill>
    <fill>
      <patternFill patternType="solid">
        <fgColor indexed="43"/>
        <bgColor indexed="12"/>
      </patternFill>
    </fill>
    <fill>
      <patternFill patternType="solid">
        <fgColor theme="5" tint="0.39997558519241921"/>
        <bgColor indexed="64"/>
      </patternFill>
    </fill>
    <fill>
      <patternFill patternType="solid">
        <fgColor theme="7" tint="0.59999389629810485"/>
        <bgColor indexed="64"/>
      </patternFill>
    </fill>
    <fill>
      <patternFill patternType="solid">
        <fgColor rgb="FF7030A0"/>
        <bgColor indexed="64"/>
      </patternFill>
    </fill>
    <fill>
      <patternFill patternType="solid">
        <fgColor theme="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bottom style="dashed">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7" fillId="0" borderId="0"/>
    <xf numFmtId="0" fontId="17" fillId="0" borderId="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cellStyleXfs>
  <cellXfs count="278">
    <xf numFmtId="0" fontId="0" fillId="0" borderId="0" xfId="0"/>
    <xf numFmtId="0" fontId="6" fillId="0" borderId="0" xfId="0" applyFont="1" applyFill="1" applyAlignment="1">
      <alignment horizontal="right"/>
    </xf>
    <xf numFmtId="0" fontId="7" fillId="0" borderId="0" xfId="0" applyFont="1" applyFill="1"/>
    <xf numFmtId="0" fontId="0" fillId="0" borderId="0" xfId="0" applyFill="1"/>
    <xf numFmtId="0" fontId="0" fillId="0" borderId="0" xfId="0" applyFill="1" applyAlignment="1">
      <alignment horizontal="center"/>
    </xf>
    <xf numFmtId="0" fontId="8" fillId="0" borderId="0" xfId="0" applyFont="1"/>
    <xf numFmtId="0" fontId="0" fillId="0" borderId="0" xfId="0" applyAlignment="1">
      <alignment horizontal="center"/>
    </xf>
    <xf numFmtId="0" fontId="9" fillId="0" borderId="0" xfId="0" applyFont="1" applyAlignment="1">
      <alignment horizontal="center"/>
    </xf>
    <xf numFmtId="0" fontId="0" fillId="0" borderId="0" xfId="0" applyAlignment="1">
      <alignment horizontal="center"/>
    </xf>
    <xf numFmtId="167" fontId="9" fillId="0" borderId="0" xfId="0" applyNumberFormat="1" applyFont="1"/>
    <xf numFmtId="0" fontId="2" fillId="0" borderId="1" xfId="0" applyFont="1" applyBorder="1" applyAlignment="1">
      <alignment horizontal="center" vertical="center" wrapText="1"/>
    </xf>
    <xf numFmtId="0" fontId="10" fillId="0" borderId="0" xfId="0" applyFont="1"/>
    <xf numFmtId="1" fontId="4" fillId="0" borderId="0" xfId="0" applyNumberFormat="1" applyFont="1" applyAlignment="1">
      <alignment horizontal="center"/>
    </xf>
    <xf numFmtId="2" fontId="0" fillId="0" borderId="0" xfId="0" applyNumberFormat="1"/>
    <xf numFmtId="2" fontId="0" fillId="0" borderId="0" xfId="0" applyNumberFormat="1" applyAlignment="1">
      <alignment horizontal="center"/>
    </xf>
    <xf numFmtId="44" fontId="0" fillId="0" borderId="0" xfId="0" applyNumberFormat="1"/>
    <xf numFmtId="44" fontId="9" fillId="0" borderId="0" xfId="1" applyFont="1" applyAlignment="1">
      <alignment horizontal="center"/>
    </xf>
    <xf numFmtId="1" fontId="9" fillId="0" borderId="0" xfId="0" applyNumberFormat="1" applyFont="1" applyAlignment="1">
      <alignment horizontal="center"/>
    </xf>
    <xf numFmtId="167" fontId="9" fillId="0" borderId="0" xfId="0" applyNumberFormat="1" applyFont="1" applyAlignment="1">
      <alignment horizontal="center"/>
    </xf>
    <xf numFmtId="0" fontId="11" fillId="0" borderId="1" xfId="0" applyFont="1" applyBorder="1"/>
    <xf numFmtId="0" fontId="0" fillId="0" borderId="1" xfId="0" applyBorder="1"/>
    <xf numFmtId="0" fontId="0" fillId="0" borderId="1" xfId="0" applyBorder="1" applyAlignment="1">
      <alignment horizontal="center"/>
    </xf>
    <xf numFmtId="44" fontId="2" fillId="0" borderId="1" xfId="0" applyNumberFormat="1" applyFont="1" applyBorder="1"/>
    <xf numFmtId="0" fontId="11" fillId="0" borderId="0" xfId="0" applyFont="1"/>
    <xf numFmtId="44" fontId="4" fillId="0" borderId="0" xfId="1" applyFont="1" applyAlignment="1">
      <alignment horizontal="center"/>
    </xf>
    <xf numFmtId="2" fontId="4" fillId="0" borderId="0" xfId="0" applyNumberFormat="1" applyFont="1" applyAlignment="1">
      <alignment horizontal="center"/>
    </xf>
    <xf numFmtId="0" fontId="0" fillId="0" borderId="0" xfId="0" applyAlignment="1">
      <alignment horizontal="left"/>
    </xf>
    <xf numFmtId="167" fontId="4" fillId="0" borderId="0" xfId="0" applyNumberFormat="1" applyFont="1" applyAlignment="1">
      <alignment horizontal="center"/>
    </xf>
    <xf numFmtId="44" fontId="2" fillId="0" borderId="0" xfId="0" applyNumberFormat="1" applyFont="1"/>
    <xf numFmtId="0" fontId="0" fillId="0" borderId="0" xfId="0" applyBorder="1"/>
    <xf numFmtId="0" fontId="0" fillId="0" borderId="0" xfId="0" applyBorder="1" applyAlignment="1">
      <alignment horizontal="center"/>
    </xf>
    <xf numFmtId="0" fontId="0" fillId="0" borderId="0" xfId="0" applyFill="1" applyBorder="1"/>
    <xf numFmtId="0" fontId="11" fillId="0" borderId="2" xfId="0" applyFont="1" applyBorder="1"/>
    <xf numFmtId="0" fontId="0" fillId="0" borderId="2" xfId="0" applyBorder="1"/>
    <xf numFmtId="0" fontId="0" fillId="0" borderId="2" xfId="0" applyBorder="1" applyAlignment="1">
      <alignment horizontal="center"/>
    </xf>
    <xf numFmtId="44" fontId="2" fillId="0" borderId="2" xfId="0" applyNumberFormat="1" applyFont="1" applyBorder="1"/>
    <xf numFmtId="0" fontId="2" fillId="0" borderId="0" xfId="0" applyFont="1"/>
    <xf numFmtId="44" fontId="2" fillId="0" borderId="4" xfId="0" applyNumberFormat="1" applyFont="1" applyBorder="1"/>
    <xf numFmtId="0" fontId="2" fillId="0" borderId="0" xfId="0" applyFont="1" applyBorder="1"/>
    <xf numFmtId="44" fontId="2" fillId="0" borderId="0" xfId="0" applyNumberFormat="1" applyFont="1" applyBorder="1"/>
    <xf numFmtId="0" fontId="12" fillId="2" borderId="1" xfId="0" applyFont="1" applyFill="1" applyBorder="1" applyAlignment="1">
      <alignment horizontal="left"/>
    </xf>
    <xf numFmtId="17" fontId="0" fillId="0" borderId="0" xfId="0" applyNumberFormat="1"/>
    <xf numFmtId="0" fontId="12" fillId="0" borderId="0" xfId="0" applyFont="1" applyFill="1" applyBorder="1" applyAlignment="1">
      <alignment horizontal="left"/>
    </xf>
    <xf numFmtId="0" fontId="12" fillId="0" borderId="0" xfId="0" applyFont="1"/>
    <xf numFmtId="44" fontId="0" fillId="0" borderId="0" xfId="0" applyNumberFormat="1" applyBorder="1"/>
    <xf numFmtId="44" fontId="0" fillId="0" borderId="0" xfId="0" applyNumberFormat="1" applyBorder="1" applyAlignment="1">
      <alignment horizontal="center"/>
    </xf>
    <xf numFmtId="0" fontId="0" fillId="0" borderId="0" xfId="0" applyAlignment="1">
      <alignment horizontal="center"/>
    </xf>
    <xf numFmtId="0" fontId="2" fillId="2" borderId="0" xfId="0" applyFont="1" applyFill="1"/>
    <xf numFmtId="0" fontId="0" fillId="2" borderId="0" xfId="0" applyFill="1"/>
    <xf numFmtId="0" fontId="2" fillId="4" borderId="0" xfId="0" applyFont="1" applyFill="1"/>
    <xf numFmtId="0" fontId="0" fillId="4" borderId="0" xfId="0" applyFill="1"/>
    <xf numFmtId="0" fontId="2" fillId="5" borderId="0" xfId="0" applyFont="1" applyFill="1"/>
    <xf numFmtId="0" fontId="0" fillId="5" borderId="0" xfId="0" applyFill="1"/>
    <xf numFmtId="0" fontId="9" fillId="2" borderId="0" xfId="0" applyFont="1" applyFill="1"/>
    <xf numFmtId="0" fontId="9" fillId="5" borderId="0" xfId="0" applyFont="1" applyFill="1"/>
    <xf numFmtId="0" fontId="14" fillId="5" borderId="0" xfId="3" applyFill="1"/>
    <xf numFmtId="0" fontId="4" fillId="5" borderId="0" xfId="0" applyFont="1" applyFill="1"/>
    <xf numFmtId="0" fontId="4" fillId="0" borderId="0" xfId="0" applyFont="1"/>
    <xf numFmtId="164" fontId="9" fillId="0" borderId="0" xfId="0" applyNumberFormat="1" applyFont="1" applyAlignment="1">
      <alignment horizontal="center"/>
    </xf>
    <xf numFmtId="9" fontId="9" fillId="0" borderId="0" xfId="0" applyNumberFormat="1" applyFont="1" applyAlignment="1">
      <alignment horizontal="center"/>
    </xf>
    <xf numFmtId="0" fontId="0" fillId="0" borderId="0" xfId="0" applyAlignment="1">
      <alignment vertical="center"/>
    </xf>
    <xf numFmtId="0" fontId="3" fillId="0" borderId="3" xfId="4" applyFont="1" applyBorder="1"/>
    <xf numFmtId="0" fontId="4" fillId="0" borderId="3" xfId="4" applyFont="1" applyBorder="1"/>
    <xf numFmtId="0" fontId="4" fillId="0" borderId="0" xfId="4" applyFont="1"/>
    <xf numFmtId="0" fontId="18" fillId="7" borderId="0" xfId="0" applyFont="1" applyFill="1" applyAlignment="1">
      <alignment horizontal="right" indent="1"/>
    </xf>
    <xf numFmtId="0" fontId="4" fillId="0" borderId="0" xfId="4" applyFont="1" applyAlignment="1">
      <alignment horizontal="center"/>
    </xf>
    <xf numFmtId="167" fontId="4" fillId="0" borderId="0" xfId="4" applyNumberFormat="1" applyFont="1" applyAlignment="1">
      <alignment horizontal="right" indent="1"/>
    </xf>
    <xf numFmtId="0" fontId="18" fillId="6" borderId="0" xfId="4" applyFont="1" applyFill="1"/>
    <xf numFmtId="10" fontId="18" fillId="7" borderId="0" xfId="2" applyNumberFormat="1" applyFont="1" applyFill="1" applyAlignment="1">
      <alignment horizontal="right" indent="1"/>
    </xf>
    <xf numFmtId="0" fontId="4" fillId="0" borderId="0" xfId="0" applyFont="1" applyAlignment="1">
      <alignment horizontal="left"/>
    </xf>
    <xf numFmtId="167" fontId="4" fillId="0" borderId="0" xfId="4" applyNumberFormat="1" applyFont="1" applyAlignment="1">
      <alignment horizontal="right" indent="2"/>
    </xf>
    <xf numFmtId="0" fontId="4" fillId="0" borderId="0" xfId="4" applyFont="1" applyAlignment="1">
      <alignment horizontal="right" indent="1"/>
    </xf>
    <xf numFmtId="2" fontId="4" fillId="0" borderId="0" xfId="4" applyNumberFormat="1" applyFont="1" applyAlignment="1">
      <alignment horizontal="right" indent="1"/>
    </xf>
    <xf numFmtId="2" fontId="4" fillId="0" borderId="0" xfId="4" applyNumberFormat="1" applyFont="1" applyAlignment="1">
      <alignment horizontal="right" indent="2"/>
    </xf>
    <xf numFmtId="0" fontId="4" fillId="0" borderId="0" xfId="4" applyFont="1" applyAlignment="1"/>
    <xf numFmtId="0" fontId="4" fillId="0" borderId="0" xfId="4" applyFont="1" applyAlignment="1">
      <alignment horizontal="right" indent="2"/>
    </xf>
    <xf numFmtId="0" fontId="18" fillId="0" borderId="0" xfId="4" applyFont="1" applyAlignment="1">
      <alignment horizontal="right" indent="1"/>
    </xf>
    <xf numFmtId="168" fontId="18" fillId="0" borderId="0" xfId="4" applyNumberFormat="1" applyFont="1" applyAlignment="1">
      <alignment horizontal="right" indent="1"/>
    </xf>
    <xf numFmtId="167" fontId="18" fillId="0" borderId="0" xfId="4" applyNumberFormat="1" applyFont="1" applyAlignment="1">
      <alignment horizontal="right" indent="1"/>
    </xf>
    <xf numFmtId="3" fontId="4" fillId="0" borderId="0" xfId="4" applyNumberFormat="1" applyFont="1"/>
    <xf numFmtId="10" fontId="18" fillId="6" borderId="0" xfId="4" applyNumberFormat="1" applyFont="1" applyFill="1" applyAlignment="1">
      <alignment horizontal="right" indent="1"/>
    </xf>
    <xf numFmtId="0" fontId="19" fillId="6" borderId="0" xfId="0" applyFont="1" applyFill="1" applyBorder="1" applyProtection="1"/>
    <xf numFmtId="165" fontId="20" fillId="8" borderId="0" xfId="0" applyNumberFormat="1" applyFont="1" applyFill="1" applyBorder="1" applyAlignment="1" applyProtection="1"/>
    <xf numFmtId="164" fontId="20" fillId="8" borderId="0" xfId="0" applyNumberFormat="1" applyFont="1" applyFill="1" applyBorder="1" applyAlignment="1" applyProtection="1"/>
    <xf numFmtId="167" fontId="21" fillId="8" borderId="0" xfId="0" applyNumberFormat="1" applyFont="1" applyFill="1" applyBorder="1" applyAlignment="1" applyProtection="1"/>
    <xf numFmtId="0" fontId="19" fillId="6" borderId="6" xfId="0" applyFont="1" applyFill="1" applyBorder="1" applyProtection="1"/>
    <xf numFmtId="165" fontId="20" fillId="8" borderId="6" xfId="0" applyNumberFormat="1" applyFont="1" applyFill="1" applyBorder="1" applyAlignment="1" applyProtection="1"/>
    <xf numFmtId="164" fontId="20" fillId="8" borderId="6" xfId="0" applyNumberFormat="1" applyFont="1" applyFill="1" applyBorder="1" applyAlignment="1" applyProtection="1"/>
    <xf numFmtId="3" fontId="21" fillId="8" borderId="6" xfId="0" applyNumberFormat="1" applyFont="1" applyFill="1" applyBorder="1" applyAlignment="1" applyProtection="1"/>
    <xf numFmtId="3" fontId="21" fillId="8" borderId="0" xfId="0" applyNumberFormat="1" applyFont="1" applyFill="1" applyBorder="1" applyAlignment="1" applyProtection="1"/>
    <xf numFmtId="0" fontId="18" fillId="0" borderId="0" xfId="4" applyFont="1" applyFill="1"/>
    <xf numFmtId="0" fontId="9" fillId="0" borderId="0" xfId="4" applyFont="1"/>
    <xf numFmtId="0" fontId="4" fillId="9" borderId="0" xfId="4" applyFont="1" applyFill="1"/>
    <xf numFmtId="167" fontId="4" fillId="10" borderId="0" xfId="4" applyNumberFormat="1" applyFont="1" applyFill="1"/>
    <xf numFmtId="0" fontId="4" fillId="0" borderId="0" xfId="4" applyFont="1" applyAlignment="1">
      <alignment wrapText="1"/>
    </xf>
    <xf numFmtId="165" fontId="4" fillId="0" borderId="0" xfId="4" applyNumberFormat="1" applyFont="1"/>
    <xf numFmtId="166" fontId="4" fillId="0" borderId="0" xfId="4" applyNumberFormat="1" applyFont="1"/>
    <xf numFmtId="0" fontId="0" fillId="0" borderId="0" xfId="0" applyAlignment="1">
      <alignment horizontal="center"/>
    </xf>
    <xf numFmtId="44" fontId="0" fillId="0" borderId="1" xfId="0" applyNumberFormat="1" applyBorder="1"/>
    <xf numFmtId="164" fontId="4" fillId="0" borderId="0" xfId="0" applyNumberFormat="1" applyFont="1" applyAlignment="1">
      <alignment horizontal="center"/>
    </xf>
    <xf numFmtId="44" fontId="0" fillId="0" borderId="0" xfId="0" applyNumberFormat="1" applyBorder="1" applyAlignment="1">
      <alignment horizontal="center"/>
    </xf>
    <xf numFmtId="0" fontId="0" fillId="0" borderId="0" xfId="0" applyAlignment="1">
      <alignment wrapText="1"/>
    </xf>
    <xf numFmtId="44" fontId="0" fillId="0" borderId="0" xfId="0" applyNumberFormat="1" applyBorder="1" applyAlignment="1"/>
    <xf numFmtId="44" fontId="0" fillId="4" borderId="0" xfId="0" applyNumberFormat="1" applyFill="1"/>
    <xf numFmtId="10" fontId="0" fillId="0" borderId="0" xfId="0" applyNumberFormat="1"/>
    <xf numFmtId="0" fontId="0" fillId="0" borderId="0" xfId="0" applyAlignment="1">
      <alignment horizontal="right"/>
    </xf>
    <xf numFmtId="0" fontId="12" fillId="2" borderId="2" xfId="0" applyFont="1" applyFill="1" applyBorder="1" applyAlignment="1">
      <alignment horizontal="left" vertical="center" wrapText="1"/>
    </xf>
    <xf numFmtId="0" fontId="5" fillId="2" borderId="3" xfId="0" applyFont="1" applyFill="1" applyBorder="1" applyAlignment="1">
      <alignment horizontal="center"/>
    </xf>
    <xf numFmtId="166" fontId="0" fillId="0" borderId="0" xfId="0" applyNumberFormat="1"/>
    <xf numFmtId="0" fontId="0" fillId="2" borderId="2" xfId="0" applyFill="1" applyBorder="1" applyAlignment="1">
      <alignment horizontal="left"/>
    </xf>
    <xf numFmtId="0" fontId="2" fillId="12" borderId="0" xfId="0" applyFont="1" applyFill="1" applyBorder="1"/>
    <xf numFmtId="0" fontId="2" fillId="0" borderId="12" xfId="0" applyFont="1" applyBorder="1"/>
    <xf numFmtId="0" fontId="0" fillId="0" borderId="14" xfId="0" applyBorder="1"/>
    <xf numFmtId="0" fontId="0" fillId="0" borderId="15" xfId="0" applyBorder="1"/>
    <xf numFmtId="0" fontId="2" fillId="0" borderId="15" xfId="0" applyFont="1" applyBorder="1"/>
    <xf numFmtId="0" fontId="0" fillId="0" borderId="0" xfId="0" applyAlignment="1">
      <alignment horizontal="center"/>
    </xf>
    <xf numFmtId="0" fontId="0" fillId="0" borderId="0" xfId="0" applyFont="1" applyBorder="1" applyAlignment="1">
      <alignment horizontal="left" vertical="center" wrapText="1"/>
    </xf>
    <xf numFmtId="1" fontId="4" fillId="0" borderId="0" xfId="4" applyNumberFormat="1" applyFont="1"/>
    <xf numFmtId="42" fontId="0" fillId="0" borderId="0" xfId="0" applyNumberFormat="1"/>
    <xf numFmtId="0" fontId="2" fillId="0" borderId="1" xfId="0" applyFont="1" applyBorder="1" applyAlignment="1">
      <alignment horizontal="center" vertical="center" wrapText="1"/>
    </xf>
    <xf numFmtId="0" fontId="23" fillId="3" borderId="17" xfId="0" applyFont="1" applyFill="1" applyBorder="1" applyAlignment="1">
      <alignment horizontal="center"/>
    </xf>
    <xf numFmtId="0" fontId="23" fillId="3" borderId="7" xfId="0" applyFont="1" applyFill="1" applyBorder="1" applyAlignment="1">
      <alignment horizontal="center"/>
    </xf>
    <xf numFmtId="0" fontId="23" fillId="3" borderId="18" xfId="0" applyFont="1" applyFill="1" applyBorder="1" applyAlignment="1">
      <alignment horizontal="center"/>
    </xf>
    <xf numFmtId="0" fontId="0" fillId="0" borderId="19" xfId="0" applyBorder="1"/>
    <xf numFmtId="44" fontId="0" fillId="0" borderId="2" xfId="0" applyNumberFormat="1" applyBorder="1"/>
    <xf numFmtId="0" fontId="0" fillId="0" borderId="0" xfId="0" applyAlignment="1">
      <alignment horizontal="center"/>
    </xf>
    <xf numFmtId="0" fontId="0" fillId="0" borderId="0" xfId="0" applyAlignment="1">
      <alignment horizontal="right"/>
    </xf>
    <xf numFmtId="0" fontId="0" fillId="0" borderId="21" xfId="0" applyBorder="1"/>
    <xf numFmtId="0" fontId="0" fillId="0" borderId="21" xfId="0" applyBorder="1" applyAlignment="1">
      <alignment horizontal="right"/>
    </xf>
    <xf numFmtId="10" fontId="0" fillId="0" borderId="21" xfId="0" applyNumberFormat="1" applyBorder="1"/>
    <xf numFmtId="0" fontId="0" fillId="0" borderId="0" xfId="0" applyAlignment="1">
      <alignment horizontal="right"/>
    </xf>
    <xf numFmtId="0" fontId="0" fillId="14" borderId="0" xfId="0" applyFill="1"/>
    <xf numFmtId="166" fontId="0" fillId="14" borderId="0" xfId="0" applyNumberFormat="1" applyFill="1"/>
    <xf numFmtId="0" fontId="0" fillId="0" borderId="0" xfId="0" applyFont="1" applyAlignment="1">
      <alignment horizontal="left"/>
    </xf>
    <xf numFmtId="166" fontId="0" fillId="0" borderId="0" xfId="0" applyNumberFormat="1" applyFill="1"/>
    <xf numFmtId="0" fontId="0" fillId="15" borderId="0" xfId="0" applyFill="1"/>
    <xf numFmtId="10" fontId="0" fillId="15" borderId="0" xfId="0" applyNumberFormat="1" applyFill="1"/>
    <xf numFmtId="0" fontId="0" fillId="0" borderId="0" xfId="0" applyAlignment="1">
      <alignment horizontal="center"/>
    </xf>
    <xf numFmtId="0" fontId="12" fillId="2" borderId="2" xfId="0" applyFont="1" applyFill="1" applyBorder="1" applyAlignment="1">
      <alignment horizontal="left" vertical="center" wrapText="1"/>
    </xf>
    <xf numFmtId="0" fontId="5" fillId="2" borderId="3" xfId="0" applyFont="1" applyFill="1"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2" fillId="0" borderId="5" xfId="0" applyFont="1" applyBorder="1" applyAlignment="1">
      <alignment horizontal="center" vertical="center" wrapText="1"/>
    </xf>
    <xf numFmtId="0" fontId="0" fillId="16" borderId="0" xfId="0" applyFill="1"/>
    <xf numFmtId="10" fontId="9"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xf>
    <xf numFmtId="44" fontId="0" fillId="0" borderId="0" xfId="0" applyNumberFormat="1" applyFill="1"/>
    <xf numFmtId="44" fontId="0" fillId="16" borderId="0" xfId="0" applyNumberFormat="1" applyFill="1"/>
    <xf numFmtId="2" fontId="4" fillId="0" borderId="0" xfId="0" applyNumberFormat="1" applyFont="1"/>
    <xf numFmtId="44" fontId="9" fillId="2" borderId="0" xfId="1" applyFont="1" applyFill="1" applyAlignment="1" applyProtection="1">
      <alignment horizontal="center"/>
      <protection locked="0"/>
    </xf>
    <xf numFmtId="0" fontId="0" fillId="2" borderId="0" xfId="0" applyFill="1" applyProtection="1">
      <protection locked="0"/>
    </xf>
    <xf numFmtId="44" fontId="9" fillId="4" borderId="0" xfId="1" applyFont="1" applyFill="1" applyAlignment="1" applyProtection="1">
      <alignment horizontal="center"/>
      <protection locked="0"/>
    </xf>
    <xf numFmtId="0" fontId="0" fillId="4" borderId="0" xfId="0" applyFill="1" applyProtection="1">
      <protection locked="0"/>
    </xf>
    <xf numFmtId="0" fontId="0" fillId="0" borderId="0" xfId="0" applyProtection="1">
      <protection locked="0"/>
    </xf>
    <xf numFmtId="44" fontId="9" fillId="5" borderId="0" xfId="1" applyFont="1" applyFill="1" applyAlignment="1" applyProtection="1">
      <alignment horizontal="center"/>
      <protection locked="0"/>
    </xf>
    <xf numFmtId="0" fontId="14" fillId="2" borderId="0" xfId="3" applyFill="1" applyProtection="1">
      <protection locked="0"/>
    </xf>
    <xf numFmtId="44" fontId="14" fillId="2" borderId="0" xfId="3" applyNumberFormat="1" applyFill="1" applyAlignment="1" applyProtection="1">
      <alignment horizontal="center"/>
      <protection locked="0"/>
    </xf>
    <xf numFmtId="44" fontId="9" fillId="0" borderId="0" xfId="1" applyFont="1" applyFill="1" applyAlignment="1" applyProtection="1">
      <alignment horizontal="center"/>
      <protection locked="0"/>
    </xf>
    <xf numFmtId="0" fontId="14" fillId="0" borderId="0" xfId="3" applyProtection="1">
      <protection locked="0"/>
    </xf>
    <xf numFmtId="0" fontId="4" fillId="4" borderId="0" xfId="0" applyFont="1" applyFill="1" applyProtection="1">
      <protection locked="0"/>
    </xf>
    <xf numFmtId="10" fontId="0" fillId="0" borderId="0" xfId="0" applyNumberFormat="1" applyProtection="1">
      <protection locked="0"/>
    </xf>
    <xf numFmtId="3" fontId="9" fillId="0" borderId="0" xfId="0" applyNumberFormat="1" applyFont="1" applyAlignment="1" applyProtection="1">
      <alignment horizontal="center"/>
      <protection locked="0"/>
    </xf>
    <xf numFmtId="164" fontId="9" fillId="0" borderId="0" xfId="0" applyNumberFormat="1" applyFont="1" applyAlignment="1" applyProtection="1">
      <alignment horizontal="center"/>
      <protection locked="0"/>
    </xf>
    <xf numFmtId="9" fontId="9" fillId="0" borderId="0" xfId="0" applyNumberFormat="1" applyFont="1" applyAlignment="1" applyProtection="1">
      <alignment horizontal="center"/>
      <protection locked="0"/>
    </xf>
    <xf numFmtId="44" fontId="9" fillId="0" borderId="0" xfId="0" applyNumberFormat="1" applyFont="1" applyProtection="1">
      <protection locked="0"/>
    </xf>
    <xf numFmtId="44" fontId="9" fillId="0" borderId="0" xfId="1" applyFont="1" applyAlignment="1" applyProtection="1">
      <alignment horizontal="center"/>
      <protection locked="0"/>
    </xf>
    <xf numFmtId="1" fontId="9" fillId="0" borderId="0" xfId="0" applyNumberFormat="1" applyFont="1" applyAlignment="1" applyProtection="1">
      <alignment horizontal="center"/>
      <protection locked="0"/>
    </xf>
    <xf numFmtId="44" fontId="24" fillId="0" borderId="0" xfId="1" applyNumberFormat="1" applyFont="1" applyAlignment="1" applyProtection="1">
      <alignment horizontal="center"/>
      <protection locked="0"/>
    </xf>
    <xf numFmtId="167" fontId="9" fillId="0" borderId="0" xfId="0" applyNumberFormat="1" applyFont="1" applyAlignment="1" applyProtection="1">
      <alignment horizontal="center"/>
      <protection locked="0"/>
    </xf>
    <xf numFmtId="44" fontId="9" fillId="0" borderId="0" xfId="1" applyFont="1" applyBorder="1" applyAlignment="1" applyProtection="1">
      <alignment horizontal="center"/>
      <protection locked="0"/>
    </xf>
    <xf numFmtId="44" fontId="9" fillId="0" borderId="0" xfId="0" applyNumberFormat="1" applyFont="1" applyBorder="1" applyProtection="1">
      <protection locked="0"/>
    </xf>
    <xf numFmtId="44" fontId="9" fillId="5" borderId="0" xfId="1" applyFont="1" applyFill="1" applyAlignment="1">
      <alignment horizontal="center"/>
    </xf>
    <xf numFmtId="0" fontId="9" fillId="4" borderId="0" xfId="0" applyFont="1" applyFill="1"/>
    <xf numFmtId="0" fontId="17" fillId="0" borderId="0" xfId="5" applyProtection="1"/>
    <xf numFmtId="0" fontId="26" fillId="11" borderId="22" xfId="5" applyFont="1" applyFill="1" applyBorder="1" applyProtection="1"/>
    <xf numFmtId="0" fontId="26" fillId="11" borderId="23" xfId="5" applyFont="1" applyFill="1" applyBorder="1" applyProtection="1"/>
    <xf numFmtId="0" fontId="26" fillId="11" borderId="24" xfId="5" applyFont="1" applyFill="1" applyBorder="1" applyProtection="1"/>
    <xf numFmtId="0" fontId="27" fillId="11" borderId="25" xfId="5" applyFont="1" applyFill="1" applyBorder="1" applyAlignment="1" applyProtection="1"/>
    <xf numFmtId="0" fontId="28" fillId="11" borderId="0" xfId="5" applyFont="1" applyFill="1" applyAlignment="1" applyProtection="1"/>
    <xf numFmtId="0" fontId="29" fillId="11" borderId="0" xfId="5" applyFont="1" applyFill="1" applyBorder="1" applyProtection="1"/>
    <xf numFmtId="0" fontId="26" fillId="11" borderId="0" xfId="5" applyFont="1" applyFill="1" applyBorder="1" applyProtection="1"/>
    <xf numFmtId="0" fontId="26" fillId="11" borderId="26" xfId="5" applyFont="1" applyFill="1" applyBorder="1" applyProtection="1"/>
    <xf numFmtId="0" fontId="29" fillId="11" borderId="25" xfId="5" applyFont="1" applyFill="1" applyBorder="1" applyProtection="1"/>
    <xf numFmtId="0" fontId="30" fillId="11" borderId="0" xfId="5" applyFont="1" applyFill="1" applyBorder="1" applyAlignment="1" applyProtection="1">
      <alignment horizontal="left"/>
    </xf>
    <xf numFmtId="0" fontId="31" fillId="11" borderId="0" xfId="5" applyFont="1" applyFill="1" applyAlignment="1" applyProtection="1">
      <alignment horizontal="left"/>
    </xf>
    <xf numFmtId="0" fontId="32" fillId="11" borderId="0" xfId="5" applyFont="1" applyFill="1" applyAlignment="1" applyProtection="1"/>
    <xf numFmtId="0" fontId="26" fillId="11" borderId="25" xfId="5" applyFont="1" applyFill="1" applyBorder="1" applyAlignment="1" applyProtection="1">
      <alignment horizontal="center"/>
    </xf>
    <xf numFmtId="0" fontId="36" fillId="11" borderId="0" xfId="5" applyFont="1" applyFill="1" applyAlignment="1" applyProtection="1">
      <alignment wrapText="1"/>
    </xf>
    <xf numFmtId="0" fontId="37" fillId="11" borderId="0" xfId="5" applyFont="1" applyFill="1" applyBorder="1" applyProtection="1"/>
    <xf numFmtId="0" fontId="38" fillId="11" borderId="26" xfId="5" applyFont="1" applyFill="1" applyBorder="1" applyProtection="1"/>
    <xf numFmtId="0" fontId="26" fillId="11" borderId="27" xfId="5" applyFont="1" applyFill="1" applyBorder="1" applyProtection="1"/>
    <xf numFmtId="0" fontId="26" fillId="11" borderId="3" xfId="5" applyFont="1" applyFill="1" applyBorder="1" applyProtection="1"/>
    <xf numFmtId="0" fontId="37" fillId="11" borderId="3" xfId="5" applyFont="1" applyFill="1" applyBorder="1" applyProtection="1"/>
    <xf numFmtId="0" fontId="39" fillId="11" borderId="28" xfId="5" applyFont="1" applyFill="1" applyBorder="1" applyAlignment="1" applyProtection="1">
      <alignment horizontal="right"/>
    </xf>
    <xf numFmtId="0" fontId="41" fillId="0" borderId="0" xfId="5" applyFont="1" applyProtection="1"/>
    <xf numFmtId="0" fontId="41" fillId="0" borderId="0" xfId="5" applyFont="1" applyFill="1" applyBorder="1" applyProtection="1"/>
    <xf numFmtId="0" fontId="42" fillId="0" borderId="0" xfId="5" applyFont="1" applyAlignment="1" applyProtection="1"/>
    <xf numFmtId="0" fontId="19" fillId="0" borderId="0" xfId="5" applyFont="1" applyAlignment="1" applyProtection="1"/>
    <xf numFmtId="0" fontId="19" fillId="0" borderId="0" xfId="5" applyFont="1" applyProtection="1"/>
    <xf numFmtId="0" fontId="43" fillId="0" borderId="0" xfId="5" applyFont="1" applyProtection="1"/>
    <xf numFmtId="0" fontId="43" fillId="0" borderId="0" xfId="5" applyFont="1" applyFill="1" applyProtection="1"/>
    <xf numFmtId="0" fontId="43" fillId="0" borderId="0" xfId="5" applyFont="1" applyAlignment="1" applyProtection="1">
      <alignment vertical="center" wrapText="1"/>
    </xf>
    <xf numFmtId="0" fontId="19" fillId="0" borderId="0" xfId="5" applyFont="1" applyAlignment="1" applyProtection="1">
      <alignment wrapText="1"/>
    </xf>
    <xf numFmtId="0" fontId="42" fillId="0" borderId="0" xfId="5" applyFont="1" applyProtection="1"/>
    <xf numFmtId="0" fontId="19" fillId="0" borderId="0" xfId="5" applyFont="1" applyAlignment="1" applyProtection="1">
      <alignment horizontal="center"/>
    </xf>
    <xf numFmtId="0" fontId="45" fillId="0" borderId="0" xfId="5" applyFont="1" applyProtection="1"/>
    <xf numFmtId="0" fontId="47" fillId="0" borderId="0" xfId="6" applyFont="1" applyAlignment="1" applyProtection="1"/>
    <xf numFmtId="0" fontId="47" fillId="0" borderId="0" xfId="7" applyFont="1" applyAlignment="1" applyProtection="1"/>
    <xf numFmtId="0" fontId="19" fillId="0" borderId="0" xfId="5" applyFont="1" applyFill="1" applyAlignment="1" applyProtection="1"/>
    <xf numFmtId="0" fontId="19" fillId="0" borderId="0" xfId="6" applyFont="1" applyFill="1" applyAlignment="1" applyProtection="1"/>
    <xf numFmtId="0" fontId="43" fillId="0" borderId="0" xfId="5" applyFont="1" applyAlignment="1" applyProtection="1">
      <alignment horizontal="left" wrapText="1"/>
    </xf>
    <xf numFmtId="44" fontId="0" fillId="2" borderId="0" xfId="0" applyNumberFormat="1" applyFill="1" applyProtection="1">
      <protection locked="0"/>
    </xf>
    <xf numFmtId="44" fontId="0" fillId="4" borderId="0" xfId="0" applyNumberFormat="1" applyFill="1" applyProtection="1">
      <protection locked="0"/>
    </xf>
    <xf numFmtId="44" fontId="0" fillId="0" borderId="0" xfId="0" applyNumberFormat="1" applyProtection="1">
      <protection locked="0"/>
    </xf>
    <xf numFmtId="2" fontId="0" fillId="0" borderId="0" xfId="0" applyNumberFormat="1" applyProtection="1">
      <protection locked="0"/>
    </xf>
    <xf numFmtId="169" fontId="0" fillId="0" borderId="0" xfId="0" applyNumberFormat="1" applyProtection="1">
      <protection locked="0"/>
    </xf>
    <xf numFmtId="0" fontId="43" fillId="0" borderId="0" xfId="5" applyFont="1" applyAlignment="1" applyProtection="1">
      <alignment horizontal="left" wrapText="1"/>
    </xf>
    <xf numFmtId="0" fontId="29" fillId="11" borderId="25" xfId="5" applyFont="1" applyFill="1" applyBorder="1" applyAlignment="1" applyProtection="1">
      <alignment horizontal="left" wrapText="1"/>
    </xf>
    <xf numFmtId="0" fontId="33" fillId="11" borderId="0" xfId="5" applyFont="1" applyFill="1" applyAlignment="1" applyProtection="1">
      <alignment wrapText="1"/>
    </xf>
    <xf numFmtId="0" fontId="33" fillId="11" borderId="25" xfId="5" applyFont="1" applyFill="1" applyBorder="1" applyAlignment="1" applyProtection="1">
      <alignment wrapText="1"/>
    </xf>
    <xf numFmtId="0" fontId="34" fillId="0" borderId="0" xfId="5" applyFont="1" applyAlignment="1" applyProtection="1">
      <alignment wrapText="1"/>
    </xf>
    <xf numFmtId="0" fontId="35" fillId="0" borderId="0" xfId="5" applyFont="1" applyAlignment="1" applyProtection="1">
      <alignment wrapText="1"/>
    </xf>
    <xf numFmtId="0" fontId="39" fillId="11" borderId="3" xfId="5" applyFont="1" applyFill="1" applyBorder="1" applyAlignment="1" applyProtection="1">
      <alignment horizontal="right"/>
    </xf>
    <xf numFmtId="0" fontId="36" fillId="11" borderId="3" xfId="5" applyFont="1" applyFill="1" applyBorder="1" applyAlignment="1" applyProtection="1">
      <alignment horizontal="right"/>
    </xf>
    <xf numFmtId="14" fontId="39" fillId="11" borderId="3" xfId="5" applyNumberFormat="1" applyFont="1" applyFill="1" applyBorder="1" applyAlignment="1" applyProtection="1">
      <alignment horizontal="left"/>
    </xf>
    <xf numFmtId="0" fontId="36" fillId="11" borderId="3" xfId="5" applyFont="1" applyFill="1" applyBorder="1" applyAlignment="1" applyProtection="1">
      <alignment horizontal="left"/>
    </xf>
    <xf numFmtId="0" fontId="40" fillId="0" borderId="0" xfId="5" applyFont="1" applyProtection="1"/>
    <xf numFmtId="0" fontId="19" fillId="0" borderId="0" xfId="5" applyFont="1" applyAlignment="1" applyProtection="1">
      <alignment horizontal="left" vertical="top" wrapText="1"/>
    </xf>
    <xf numFmtId="0" fontId="42" fillId="0" borderId="0" xfId="5" applyFont="1" applyAlignment="1" applyProtection="1"/>
    <xf numFmtId="0" fontId="19" fillId="0" borderId="0" xfId="5" applyFont="1" applyAlignment="1" applyProtection="1"/>
    <xf numFmtId="0" fontId="19" fillId="0" borderId="0" xfId="5" applyFont="1" applyAlignment="1" applyProtection="1">
      <alignment horizontal="left" wrapText="1"/>
    </xf>
    <xf numFmtId="0" fontId="19" fillId="0" borderId="0" xfId="5" applyFont="1" applyAlignment="1" applyProtection="1">
      <alignment horizontal="left" vertical="center" wrapText="1"/>
    </xf>
    <xf numFmtId="0" fontId="46" fillId="0" borderId="0" xfId="6" applyAlignment="1" applyProtection="1"/>
    <xf numFmtId="0" fontId="47" fillId="0" borderId="0" xfId="7" applyFont="1" applyAlignment="1" applyProtection="1"/>
    <xf numFmtId="3" fontId="4" fillId="0" borderId="0" xfId="0" applyNumberFormat="1" applyFont="1" applyBorder="1" applyAlignment="1">
      <alignment horizont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0" fillId="0" borderId="0" xfId="0" applyAlignment="1">
      <alignment horizontal="center" vertical="center"/>
    </xf>
    <xf numFmtId="0" fontId="5" fillId="2" borderId="3" xfId="0" applyFont="1" applyFill="1" applyBorder="1" applyAlignment="1">
      <alignment horizontal="center"/>
    </xf>
    <xf numFmtId="0" fontId="12" fillId="2" borderId="2" xfId="0" applyFont="1" applyFill="1" applyBorder="1" applyAlignment="1">
      <alignment horizontal="left" vertical="center" wrapText="1"/>
    </xf>
    <xf numFmtId="0" fontId="0" fillId="0" borderId="2" xfId="0" applyBorder="1" applyAlignment="1">
      <alignment horizontal="left"/>
    </xf>
    <xf numFmtId="0" fontId="5" fillId="2" borderId="3" xfId="0" applyFont="1" applyFill="1" applyBorder="1" applyAlignment="1">
      <alignment horizontal="left" vertical="center" wrapText="1"/>
    </xf>
    <xf numFmtId="44" fontId="0" fillId="0" borderId="0" xfId="0" applyNumberFormat="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44" fontId="0" fillId="0" borderId="2" xfId="0" applyNumberFormat="1" applyBorder="1" applyAlignment="1">
      <alignment horizontal="center"/>
    </xf>
    <xf numFmtId="0" fontId="0" fillId="0" borderId="20" xfId="0" applyBorder="1" applyAlignment="1">
      <alignment horizontal="center"/>
    </xf>
    <xf numFmtId="44" fontId="0" fillId="0" borderId="1" xfId="0" applyNumberFormat="1"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12" fillId="2" borderId="1" xfId="0" applyFont="1" applyFill="1" applyBorder="1" applyAlignment="1">
      <alignment horizontal="center"/>
    </xf>
    <xf numFmtId="0" fontId="22" fillId="13" borderId="0" xfId="0" applyFont="1" applyFill="1" applyAlignment="1">
      <alignment horizontal="center"/>
    </xf>
    <xf numFmtId="0" fontId="0" fillId="0" borderId="0" xfId="0" applyAlignment="1">
      <alignment horizontal="center"/>
    </xf>
    <xf numFmtId="0" fontId="0" fillId="0" borderId="0" xfId="0" applyAlignment="1">
      <alignment horizontal="right"/>
    </xf>
    <xf numFmtId="0" fontId="5" fillId="2" borderId="1" xfId="0" applyFont="1" applyFill="1" applyBorder="1" applyAlignment="1">
      <alignment horizontal="center" vertical="center" wrapText="1"/>
    </xf>
    <xf numFmtId="0" fontId="5" fillId="2" borderId="1" xfId="0" applyFont="1" applyFill="1" applyBorder="1" applyAlignment="1" applyProtection="1">
      <alignment horizontal="right" vertical="center" wrapText="1"/>
      <protection locked="0"/>
    </xf>
    <xf numFmtId="0" fontId="5" fillId="2" borderId="1" xfId="0" applyFont="1" applyFill="1" applyBorder="1" applyAlignment="1">
      <alignment horizontal="left" vertical="center" wrapText="1"/>
    </xf>
    <xf numFmtId="0" fontId="0" fillId="0" borderId="2" xfId="0" applyBorder="1" applyAlignment="1">
      <alignment horizontal="center"/>
    </xf>
    <xf numFmtId="44" fontId="0" fillId="0" borderId="8" xfId="0" applyNumberFormat="1" applyBorder="1" applyAlignment="1">
      <alignment horizontal="center"/>
    </xf>
    <xf numFmtId="44" fontId="0" fillId="0" borderId="20" xfId="0" applyNumberFormat="1" applyBorder="1" applyAlignment="1">
      <alignment horizontal="center"/>
    </xf>
    <xf numFmtId="0" fontId="0" fillId="0" borderId="3" xfId="0" applyBorder="1" applyAlignment="1">
      <alignment horizontal="left" vertical="center" wrapText="1"/>
    </xf>
    <xf numFmtId="0" fontId="5" fillId="2" borderId="3" xfId="0" applyFont="1" applyFill="1" applyBorder="1" applyAlignment="1">
      <alignment horizontal="right"/>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1" xfId="0" applyFont="1" applyFill="1" applyBorder="1" applyAlignment="1">
      <alignment horizont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4" fillId="0" borderId="0" xfId="4" applyFont="1" applyAlignment="1">
      <alignment horizontal="center"/>
    </xf>
  </cellXfs>
  <cellStyles count="8">
    <cellStyle name="Currency" xfId="1" builtinId="4"/>
    <cellStyle name="Hyperlink" xfId="3" builtinId="8"/>
    <cellStyle name="Hyperlink 2" xfId="7" xr:uid="{00000000-0005-0000-0000-000002000000}"/>
    <cellStyle name="Hyperlink_K-State Vegetative Buffer" xfId="6" xr:uid="{00000000-0005-0000-0000-000003000000}"/>
    <cellStyle name="Normal" xfId="0" builtinId="0"/>
    <cellStyle name="Normal 2" xfId="5" xr:uid="{00000000-0005-0000-0000-000005000000}"/>
    <cellStyle name="Normal_manure nutrients" xfId="4" xr:uid="{00000000-0005-0000-0000-000006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47</xdr:row>
      <xdr:rowOff>115534</xdr:rowOff>
    </xdr:from>
    <xdr:to>
      <xdr:col>5</xdr:col>
      <xdr:colOff>352012</xdr:colOff>
      <xdr:row>51</xdr:row>
      <xdr:rowOff>51765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8688034"/>
          <a:ext cx="2843005" cy="622031"/>
        </a:xfrm>
        <a:prstGeom prst="rect">
          <a:avLst/>
        </a:prstGeom>
      </xdr:spPr>
    </xdr:pic>
    <xdr:clientData/>
  </xdr:twoCellAnchor>
  <xdr:twoCellAnchor editAs="oneCell">
    <xdr:from>
      <xdr:col>1</xdr:col>
      <xdr:colOff>0</xdr:colOff>
      <xdr:row>8</xdr:row>
      <xdr:rowOff>10353</xdr:rowOff>
    </xdr:from>
    <xdr:to>
      <xdr:col>12</xdr:col>
      <xdr:colOff>2468</xdr:colOff>
      <xdr:row>25</xdr:row>
      <xdr:rowOff>144946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71" t="7068" r="-271" b="39253"/>
        <a:stretch/>
      </xdr:blipFill>
      <xdr:spPr>
        <a:xfrm>
          <a:off x="238125" y="1439103"/>
          <a:ext cx="7641518" cy="2849218"/>
        </a:xfrm>
        <a:prstGeom prst="rect">
          <a:avLst/>
        </a:prstGeom>
        <a:solidFill>
          <a:schemeClr val="accent1">
            <a:lumMod val="40000"/>
            <a:lumOff val="60000"/>
          </a:schemeClr>
        </a:solidFill>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49</xdr:row>
      <xdr:rowOff>19049</xdr:rowOff>
    </xdr:from>
    <xdr:to>
      <xdr:col>3</xdr:col>
      <xdr:colOff>13335</xdr:colOff>
      <xdr:row>91</xdr:row>
      <xdr:rowOff>1343025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10315574"/>
          <a:ext cx="3794760" cy="9324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365760" algn="l"/>
            </a:tabLst>
          </a:pPr>
          <a:r>
            <a:rPr lang="en-US" sz="1100"/>
            <a:t>	</a:t>
          </a:r>
          <a:r>
            <a:rPr lang="en-US" sz="1100" baseline="0"/>
            <a:t>K-State's Agricultural Economics Department annually publishes </a:t>
          </a:r>
          <a:r>
            <a:rPr lang="en-US" sz="1100" i="1" baseline="0"/>
            <a:t>Farm Management Guides </a:t>
          </a:r>
          <a:r>
            <a:rPr lang="en-US" sz="1100" baseline="0"/>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sz="1100" baseline="0"/>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t>Prices </a:t>
          </a:r>
          <a:r>
            <a:rPr lang="en-US" sz="1100" baseline="0"/>
            <a:t>tab and be adjusted according to the user's own expectations and local market conditions.  Only default milk, cattle, and feed prices differ when looking at different time horizons.  Other costs will remain fixed.</a:t>
          </a:r>
        </a:p>
        <a:p>
          <a:pPr eaLnBrk="1" fontAlgn="auto" latinLnBrk="0" hangingPunct="1">
            <a:tabLst>
              <a:tab pos="457200" algn="l"/>
            </a:tabLst>
          </a:pPr>
          <a:r>
            <a:rPr lang="en-US" sz="1100" baseline="0"/>
            <a:t>	The source of default estimates are noted in the explanations to follow, but most of the production costs are taken from The Center for Farm Financial Management "FINBIN" database (www.finbin.umn.edu).  </a:t>
          </a:r>
          <a:r>
            <a:rPr lang="en-US" sz="1100" baseline="0">
              <a:solidFill>
                <a:schemeClr val="dk1"/>
              </a:solidFill>
              <a:effectLst/>
              <a:latin typeface="+mn-lt"/>
              <a:ea typeface="+mn-ea"/>
              <a:cs typeface="+mn-cs"/>
            </a:rPr>
            <a:t>Values for the previous 10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365760" algn="l"/>
            </a:tabLst>
          </a:pPr>
          <a:r>
            <a:rPr lang="en-US" sz="1100" baseline="0"/>
            <a:t>	This budget assumes all calves are sold when they are less than a week old and the operation purchases all replacement heifers.  This way the milk cow and replacement heifer enterprises can be evaluated separately.  See the "Cow Milking-Raised Replacement budget" or "Replacement Heifer" budget to evaluate raising replacement heifers. </a:t>
          </a:r>
        </a:p>
        <a:p>
          <a:pPr>
            <a:tabLst>
              <a:tab pos="365760" algn="l"/>
            </a:tabLst>
          </a:pPr>
          <a:endParaRPr lang="en-US" sz="700" baseline="0"/>
        </a:p>
        <a:p>
          <a:pPr>
            <a:tabLst>
              <a:tab pos="365760" algn="l"/>
            </a:tabLst>
          </a:pPr>
          <a:r>
            <a:rPr lang="en-US" sz="1100" u="sng" baseline="0"/>
            <a:t>Production Efficiency Measures</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Milk Produced Per Cow: </a:t>
          </a:r>
          <a:r>
            <a:rPr lang="en-US" sz="1100" b="0" baseline="0">
              <a:solidFill>
                <a:schemeClr val="dk1"/>
              </a:solidFill>
              <a:effectLst/>
              <a:latin typeface="+mn-lt"/>
              <a:ea typeface="+mn-ea"/>
              <a:cs typeface="+mn-cs"/>
            </a:rPr>
            <a:t>Average pounds of milk per cow per year.  This has a HUGE effect on ending profitability, so should be adjusted to fit the operation.  Default is roughly the FINBIN cow average and Kansas Farm Management Association (KFMA) dairy farm enterprise average.</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Replacement Heifer Purchases: </a:t>
          </a:r>
          <a:r>
            <a:rPr lang="en-US" sz="1100" b="0" baseline="0">
              <a:solidFill>
                <a:schemeClr val="dk1"/>
              </a:solidFill>
              <a:effectLst/>
              <a:latin typeface="+mn-lt"/>
              <a:ea typeface="+mn-ea"/>
              <a:cs typeface="+mn-cs"/>
            </a:rPr>
            <a:t>Amount of heifers purchased in relationship to the entire herd, listed as a percent.  FINBIN typically displays a 35% turnover rate.</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Cull Cow Sales: </a:t>
          </a:r>
          <a:r>
            <a:rPr lang="en-US" sz="1100" b="0" baseline="0">
              <a:solidFill>
                <a:schemeClr val="dk1"/>
              </a:solidFill>
              <a:effectLst/>
              <a:latin typeface="+mn-lt"/>
              <a:ea typeface="+mn-ea"/>
              <a:cs typeface="+mn-cs"/>
            </a:rPr>
            <a:t>Will be different then percentage of heifers purchased to account for death loss or those cows with no salvage value.  FINBIN farms average 7% cow death loss.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Percentage of live, marketable calves.  Note that this budget assumes you sell all calves soon after birth (minus death loss) and purchase all replacement heifers.  </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80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800" i="1">
              <a:solidFill>
                <a:schemeClr val="dk1"/>
              </a:solidFill>
              <a:effectLst/>
              <a:latin typeface="+mn-lt"/>
              <a:ea typeface="+mn-ea"/>
              <a:cs typeface="+mn-cs"/>
            </a:rPr>
            <a:t>*Note:</a:t>
          </a:r>
          <a:r>
            <a:rPr lang="en-US" sz="800" i="1" baseline="0">
              <a:solidFill>
                <a:schemeClr val="dk1"/>
              </a:solidFill>
              <a:effectLst/>
              <a:latin typeface="+mn-lt"/>
              <a:ea typeface="+mn-ea"/>
              <a:cs typeface="+mn-cs"/>
            </a:rPr>
            <a:t> FINBIN defaults are based on 75 farms with a current average herd size of 165 cows (milking and dry) and average milk per cow of 22,788 pounds</a:t>
          </a:r>
          <a:endParaRPr lang="en-US" sz="500">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900">
            <a:effectLst/>
          </a:endParaRPr>
        </a:p>
        <a:p>
          <a:pPr>
            <a:tabLst>
              <a:tab pos="365760" algn="l"/>
            </a:tabLst>
          </a:pPr>
          <a:endParaRPr lang="en-US" sz="1100" b="1" baseline="0"/>
        </a:p>
      </xdr:txBody>
    </xdr:sp>
    <xdr:clientData/>
  </xdr:twoCellAnchor>
  <xdr:twoCellAnchor>
    <xdr:from>
      <xdr:col>3</xdr:col>
      <xdr:colOff>9524</xdr:colOff>
      <xdr:row>49</xdr:row>
      <xdr:rowOff>28573</xdr:rowOff>
    </xdr:from>
    <xdr:to>
      <xdr:col>11</xdr:col>
      <xdr:colOff>3809</xdr:colOff>
      <xdr:row>91</xdr:row>
      <xdr:rowOff>1419225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809999" y="10325098"/>
          <a:ext cx="3794760" cy="9391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Milk Sales: </a:t>
          </a:r>
          <a:r>
            <a:rPr lang="en-US" sz="1100" b="0" baseline="0">
              <a:solidFill>
                <a:schemeClr val="dk1"/>
              </a:solidFill>
              <a:effectLst/>
              <a:latin typeface="+mn-lt"/>
              <a:ea typeface="+mn-ea"/>
              <a:cs typeface="+mn-cs"/>
            </a:rPr>
            <a:t>Milk produced per cow multiplied by milk price.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Milk Premiums: </a:t>
          </a:r>
          <a:r>
            <a:rPr lang="en-US" sz="1100" b="0" baseline="0">
              <a:solidFill>
                <a:schemeClr val="dk1"/>
              </a:solidFill>
              <a:effectLst/>
              <a:latin typeface="+mn-lt"/>
              <a:ea typeface="+mn-ea"/>
              <a:cs typeface="+mn-cs"/>
            </a:rPr>
            <a:t>Enter any volume, quality, or other premiums to be applied to pounds of milk produced not already captured in milk sales.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Price based on 50% bull calf and 50% heifer calf price, adjusted for death loss.</a:t>
          </a:r>
          <a:endParaRPr lang="en-US">
            <a:effectLst/>
          </a:endParaRPr>
        </a:p>
        <a:p>
          <a:pPr eaLnBrk="1" fontAlgn="auto" latinLnBrk="0" hangingPunct="1"/>
          <a:r>
            <a:rPr lang="en-US" sz="1100" b="1" baseline="0">
              <a:solidFill>
                <a:schemeClr val="dk1"/>
              </a:solidFill>
              <a:effectLst/>
              <a:latin typeface="+mn-lt"/>
              <a:ea typeface="+mn-ea"/>
              <a:cs typeface="+mn-cs"/>
            </a:rPr>
            <a:t>Cull Cows Sold: </a:t>
          </a:r>
          <a:r>
            <a:rPr lang="en-US" sz="1100" b="0" baseline="0">
              <a:solidFill>
                <a:schemeClr val="dk1"/>
              </a:solidFill>
              <a:effectLst/>
              <a:latin typeface="+mn-lt"/>
              <a:ea typeface="+mn-ea"/>
              <a:cs typeface="+mn-cs"/>
            </a:rPr>
            <a:t>Enter average cull cow weight to be multiplied by price and sales percentage.</a:t>
          </a:r>
          <a:endParaRPr lang="en-US">
            <a:effectLst/>
          </a:endParaRP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$135 per head (hauling captured in Custom Hire below).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Patronage refunds, government program payments, etc., should be entered here. </a:t>
          </a:r>
          <a:endParaRPr lang="en-US">
            <a:effectLst/>
          </a:endParaRPr>
        </a:p>
        <a:p>
          <a:pPr eaLnBrk="1" fontAlgn="auto" latinLnBrk="0" hangingPunct="1"/>
          <a:endParaRPr lang="en-US">
            <a:effectLst/>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Feed Cost: </a:t>
          </a:r>
          <a:r>
            <a:rPr lang="en-US" sz="1100" b="0" baseline="0">
              <a:solidFill>
                <a:schemeClr val="dk1"/>
              </a:solidFill>
              <a:effectLst/>
              <a:latin typeface="+mn-lt"/>
              <a:ea typeface="+mn-ea"/>
              <a:cs typeface="+mn-cs"/>
            </a:rPr>
            <a:t>Enter dollar per head per day cost over the entire year (includes both milking and dry periods).  Default is a regression of daily feed cost per head in the FINBIN database in relation to corn, soybean, alfalfa price, and total milk produced per cow.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Heifers: </a:t>
          </a:r>
          <a:r>
            <a:rPr lang="en-US" sz="1100" b="0" baseline="0">
              <a:solidFill>
                <a:schemeClr val="dk1"/>
              </a:solidFill>
              <a:effectLst/>
              <a:latin typeface="+mn-lt"/>
              <a:ea typeface="+mn-ea"/>
              <a:cs typeface="+mn-cs"/>
            </a:rPr>
            <a:t>Dollar per head purchase price multiplied by percentage of replacement purchases.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Cow Breeding Fees: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near 41 hours per cow with a total paid labor cost just over $400 per cow.  Unpaid Labor and Management is near $200 per cow, which makes up the other portion of the 41 hours.  These values will vary tremendously depending on the efficiency and level of technology in the operation.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Milk Marketing &amp; Hauling: </a:t>
          </a:r>
          <a:r>
            <a:rPr lang="en-US" sz="1100" b="0" baseline="0">
              <a:solidFill>
                <a:schemeClr val="dk1"/>
              </a:solidFill>
              <a:effectLst/>
              <a:latin typeface="+mn-lt"/>
              <a:ea typeface="+mn-ea"/>
              <a:cs typeface="+mn-cs"/>
            </a:rPr>
            <a:t>Default is FINBIN value.  </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etc.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referring to cleaning/chemicals/filters/etc.   Enter other misc. items as needed.</a:t>
          </a: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p>
        <a:p>
          <a:pPr eaLnBrk="1" fontAlgn="auto" latinLnBrk="0" hangingPunct="1"/>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sz="1100" b="0" baseline="0">
            <a:solidFill>
              <a:srgbClr val="C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taxes, and other fixed overhead.  Add other fixed costs as needed.  </a:t>
          </a:r>
        </a:p>
      </xdr:txBody>
    </xdr:sp>
    <xdr:clientData/>
  </xdr:twoCellAnchor>
  <xdr:twoCellAnchor>
    <xdr:from>
      <xdr:col>0</xdr:col>
      <xdr:colOff>19050</xdr:colOff>
      <xdr:row>123</xdr:row>
      <xdr:rowOff>333373</xdr:rowOff>
    </xdr:from>
    <xdr:to>
      <xdr:col>11</xdr:col>
      <xdr:colOff>0</xdr:colOff>
      <xdr:row>126</xdr:row>
      <xdr:rowOff>152399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050" y="28060648"/>
          <a:ext cx="7496175" cy="781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mc:AlternateContent xmlns:mc="http://schemas.openxmlformats.org/markup-compatibility/2006">
    <mc:Choice xmlns:a14="http://schemas.microsoft.com/office/drawing/2010/main" Requires="a14">
      <xdr:twoCellAnchor>
        <xdr:from>
          <xdr:col>12</xdr:col>
          <xdr:colOff>601980</xdr:colOff>
          <xdr:row>4</xdr:row>
          <xdr:rowOff>11430</xdr:rowOff>
        </xdr:from>
        <xdr:to>
          <xdr:col>17</xdr:col>
          <xdr:colOff>0</xdr:colOff>
          <xdr:row>5</xdr:row>
          <xdr:rowOff>171450</xdr:rowOff>
        </xdr:to>
        <xdr:sp macro="" textlink="">
          <xdr:nvSpPr>
            <xdr:cNvPr id="4117" name="Button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590550</xdr:colOff>
          <xdr:row>5</xdr:row>
          <xdr:rowOff>285750</xdr:rowOff>
        </xdr:from>
        <xdr:to>
          <xdr:col>17</xdr:col>
          <xdr:colOff>0</xdr:colOff>
          <xdr:row>6</xdr:row>
          <xdr:rowOff>316230</xdr:rowOff>
        </xdr:to>
        <xdr:sp macro="" textlink="">
          <xdr:nvSpPr>
            <xdr:cNvPr id="4119" name="Button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51</xdr:row>
      <xdr:rowOff>19049</xdr:rowOff>
    </xdr:from>
    <xdr:to>
      <xdr:col>3</xdr:col>
      <xdr:colOff>13335</xdr:colOff>
      <xdr:row>93</xdr:row>
      <xdr:rowOff>790575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10696574"/>
          <a:ext cx="3794760" cy="8772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baseline="0">
              <a:solidFill>
                <a:schemeClr val="dk1"/>
              </a:solidFill>
              <a:effectLst/>
              <a:latin typeface="+mn-lt"/>
              <a:ea typeface="+mn-ea"/>
              <a:cs typeface="+mn-cs"/>
            </a:rPr>
            <a:t>	K-State's Agricultural Economics Department annually publishes </a:t>
          </a:r>
          <a:r>
            <a:rPr lang="en-US" sz="1100" i="1" baseline="0">
              <a:solidFill>
                <a:schemeClr val="dk1"/>
              </a:solidFill>
              <a:effectLst/>
              <a:latin typeface="+mn-lt"/>
              <a:ea typeface="+mn-ea"/>
              <a:cs typeface="+mn-cs"/>
            </a:rPr>
            <a:t>Farm Management Guides </a:t>
          </a:r>
          <a:r>
            <a:rPr lang="en-US" sz="1100" baseline="0">
              <a:solidFill>
                <a:schemeClr val="dk1"/>
              </a:solidFill>
              <a:effectLst/>
              <a:latin typeface="+mn-lt"/>
              <a:ea typeface="+mn-ea"/>
              <a:cs typeface="+mn-cs"/>
            </a:rPr>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effectLst/>
              <a:latin typeface="+mn-lt"/>
              <a:ea typeface="+mn-ea"/>
              <a:cs typeface="+mn-cs"/>
            </a:rPr>
            <a:t>blue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solidFill>
                <a:schemeClr val="dk1"/>
              </a:solidFill>
              <a:effectLst/>
              <a:latin typeface="+mn-lt"/>
              <a:ea typeface="+mn-ea"/>
              <a:cs typeface="+mn-cs"/>
            </a:rPr>
            <a:t>Prices </a:t>
          </a:r>
          <a:r>
            <a:rPr lang="en-US" sz="1100" baseline="0">
              <a:solidFill>
                <a:schemeClr val="dk1"/>
              </a:solidFill>
              <a:effectLst/>
              <a:latin typeface="+mn-lt"/>
              <a:ea typeface="+mn-ea"/>
              <a:cs typeface="+mn-cs"/>
            </a:rPr>
            <a:t>tab and be adjusted according to the user's own expectations and local market conditions.  Only default milk, cattle, and feed prices differ when looking at different time horizons.  Other costs will remain fixed.</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The source of default estimates are noted in the explanations to follow, but most of the production costs are taken from The Center for Farm Financial Management "FINBIN" database (www.finbin.umn.edu).  Values for the previous 10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457200" algn="l"/>
            </a:tabLst>
          </a:pPr>
          <a:r>
            <a:rPr lang="en-US" sz="1100" baseline="0">
              <a:solidFill>
                <a:schemeClr val="dk1"/>
              </a:solidFill>
              <a:effectLst/>
              <a:latin typeface="+mn-lt"/>
              <a:ea typeface="+mn-ea"/>
              <a:cs typeface="+mn-cs"/>
            </a:rPr>
            <a:t>	This budget assumes all heifers are raised on-farm.   See the "Cow Milking-Purchased Replacement budget" or "Replacement Heifers" budget to evaluate other scenarios.  </a:t>
          </a:r>
        </a:p>
        <a:p>
          <a:pPr>
            <a:tabLst>
              <a:tab pos="457200" algn="l"/>
            </a:tabLst>
          </a:pPr>
          <a:endParaRPr lang="en-US" sz="100">
            <a:effectLst/>
          </a:endParaRPr>
        </a:p>
        <a:p>
          <a:pPr>
            <a:tabLst>
              <a:tab pos="457200" algn="l"/>
            </a:tabLst>
          </a:pPr>
          <a:endParaRPr lang="en-US" sz="1100" u="sng" baseline="0">
            <a:solidFill>
              <a:schemeClr val="dk1"/>
            </a:solidFill>
            <a:effectLst/>
            <a:latin typeface="+mn-lt"/>
            <a:ea typeface="+mn-ea"/>
            <a:cs typeface="+mn-cs"/>
          </a:endParaRPr>
        </a:p>
        <a:p>
          <a:pPr>
            <a:tabLst>
              <a:tab pos="457200" algn="l"/>
            </a:tabLst>
          </a:pPr>
          <a:r>
            <a:rPr lang="en-US" sz="1100" u="sng" baseline="0">
              <a:solidFill>
                <a:schemeClr val="dk1"/>
              </a:solidFill>
              <a:effectLst/>
              <a:latin typeface="+mn-lt"/>
              <a:ea typeface="+mn-ea"/>
              <a:cs typeface="+mn-cs"/>
            </a:rPr>
            <a:t>Production Efficiency Measures</a:t>
          </a:r>
          <a:endParaRPr lang="en-US">
            <a:effectLst/>
          </a:endParaRPr>
        </a:p>
        <a:p>
          <a:pPr eaLnBrk="1" fontAlgn="auto" latinLnBrk="0" hangingPunct="1"/>
          <a:r>
            <a:rPr lang="en-US" sz="1100" b="1" baseline="0">
              <a:solidFill>
                <a:schemeClr val="dk1"/>
              </a:solidFill>
              <a:effectLst/>
              <a:latin typeface="+mn-lt"/>
              <a:ea typeface="+mn-ea"/>
              <a:cs typeface="+mn-cs"/>
            </a:rPr>
            <a:t>Milk Produced Per Cow: </a:t>
          </a:r>
          <a:r>
            <a:rPr lang="en-US" sz="1100" b="0" baseline="0">
              <a:solidFill>
                <a:schemeClr val="dk1"/>
              </a:solidFill>
              <a:effectLst/>
              <a:latin typeface="+mn-lt"/>
              <a:ea typeface="+mn-ea"/>
              <a:cs typeface="+mn-cs"/>
            </a:rPr>
            <a:t>Average pounds of milk per cow per year.  This has a HUGE effect on ending profitability, so should be adjusted to fit the operation.  Default is roughly the FINBIN  average and Kansas Farm Management Association (KFMA) dairy farm enterprise average.</a:t>
          </a:r>
          <a:endParaRPr lang="en-US">
            <a:effectLst/>
          </a:endParaRPr>
        </a:p>
        <a:p>
          <a:pPr eaLnBrk="1" fontAlgn="auto" latinLnBrk="0" hangingPunct="1"/>
          <a:r>
            <a:rPr lang="en-US" sz="1100" b="1" baseline="0">
              <a:solidFill>
                <a:schemeClr val="dk1"/>
              </a:solidFill>
              <a:effectLst/>
              <a:latin typeface="+mn-lt"/>
              <a:ea typeface="+mn-ea"/>
              <a:cs typeface="+mn-cs"/>
            </a:rPr>
            <a:t>Cull Cow Sales: </a:t>
          </a:r>
          <a:r>
            <a:rPr lang="en-US" sz="1100" b="0" baseline="0">
              <a:solidFill>
                <a:schemeClr val="dk1"/>
              </a:solidFill>
              <a:effectLst/>
              <a:latin typeface="+mn-lt"/>
              <a:ea typeface="+mn-ea"/>
              <a:cs typeface="+mn-cs"/>
            </a:rPr>
            <a:t>Percentage of entire herd sold each year as culls. FINBIN farms average around 6% cow death loss or no sales value, so this makes up the difference in replacement turnover.  </a:t>
          </a:r>
          <a:endParaRPr lang="en-US">
            <a:effectLst/>
          </a:endParaRPr>
        </a:p>
        <a:p>
          <a:pPr eaLnBrk="1" fontAlgn="auto" latinLnBrk="0" hangingPunct="1"/>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Percentage of live, sellable calves.  Note that this budget assumes you retain all replacement heifers.  4% death loss is the default on bull calf sales.  </a:t>
          </a:r>
        </a:p>
        <a:p>
          <a:pPr eaLnBrk="1" fontAlgn="auto" latinLnBrk="0" hangingPunct="1"/>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Cull replacements sold as non-breeders.</a:t>
          </a:r>
          <a:endParaRPr lang="en-US">
            <a:effectLst/>
          </a:endParaRPr>
        </a:p>
        <a:p>
          <a:pPr eaLnBrk="1" fontAlgn="auto" latinLnBrk="0" hangingPunct="1"/>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Cull replacements sold as yearlings.</a:t>
          </a:r>
          <a:endParaRPr lang="en-US">
            <a:effectLst/>
          </a:endParaRPr>
        </a:p>
      </xdr:txBody>
    </xdr:sp>
    <xdr:clientData/>
  </xdr:twoCellAnchor>
  <xdr:twoCellAnchor>
    <xdr:from>
      <xdr:col>2</xdr:col>
      <xdr:colOff>904874</xdr:colOff>
      <xdr:row>51</xdr:row>
      <xdr:rowOff>38098</xdr:rowOff>
    </xdr:from>
    <xdr:to>
      <xdr:col>10</xdr:col>
      <xdr:colOff>775334</xdr:colOff>
      <xdr:row>93</xdr:row>
      <xdr:rowOff>752475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800474" y="10715623"/>
          <a:ext cx="3794760" cy="8715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 Death Loss: </a:t>
          </a:r>
          <a:r>
            <a:rPr lang="en-US" sz="1100" b="0" baseline="0">
              <a:solidFill>
                <a:schemeClr val="dk1"/>
              </a:solidFill>
              <a:effectLst/>
              <a:latin typeface="+mn-lt"/>
              <a:ea typeface="+mn-ea"/>
              <a:cs typeface="+mn-cs"/>
            </a:rPr>
            <a:t>Percentage of calves/heifers normally lost.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Replacement Heifer Turnover: </a:t>
          </a:r>
          <a:r>
            <a:rPr lang="en-US" sz="1100" b="0" baseline="0">
              <a:solidFill>
                <a:schemeClr val="dk1"/>
              </a:solidFill>
              <a:effectLst/>
              <a:latin typeface="+mn-lt"/>
              <a:ea typeface="+mn-ea"/>
              <a:cs typeface="+mn-cs"/>
            </a:rPr>
            <a:t>Amount of replacement heifers raised to freshening in relationship to the entire herd, listed as a percent.  FINBIN typically displays a 34% turnover rate. Assumptions are that 50% of calves are born as heifers, 2% are culled as yearlings, 5% are culled as non-breeders, and 9% death loss is realized during the developement period.  </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Milk Sales: </a:t>
          </a:r>
          <a:r>
            <a:rPr lang="en-US" sz="1100" b="0" baseline="0">
              <a:solidFill>
                <a:schemeClr val="dk1"/>
              </a:solidFill>
              <a:effectLst/>
              <a:latin typeface="+mn-lt"/>
              <a:ea typeface="+mn-ea"/>
              <a:cs typeface="+mn-cs"/>
            </a:rPr>
            <a:t>Milk produced per cow multiplied by milk price.</a:t>
          </a:r>
          <a:endParaRPr lang="en-US">
            <a:effectLst/>
          </a:endParaRPr>
        </a:p>
        <a:p>
          <a:pPr eaLnBrk="1" fontAlgn="auto" latinLnBrk="0" hangingPunct="1"/>
          <a:r>
            <a:rPr lang="en-US" sz="1100" b="1" baseline="0">
              <a:solidFill>
                <a:schemeClr val="dk1"/>
              </a:solidFill>
              <a:effectLst/>
              <a:latin typeface="+mn-lt"/>
              <a:ea typeface="+mn-ea"/>
              <a:cs typeface="+mn-cs"/>
            </a:rPr>
            <a:t>Milk Premiums: </a:t>
          </a:r>
          <a:r>
            <a:rPr lang="en-US" sz="1100" b="0" baseline="0">
              <a:solidFill>
                <a:schemeClr val="dk1"/>
              </a:solidFill>
              <a:effectLst/>
              <a:latin typeface="+mn-lt"/>
              <a:ea typeface="+mn-ea"/>
              <a:cs typeface="+mn-cs"/>
            </a:rPr>
            <a:t>Enter any volume, quality, or other premiums to be applied to pounds of milk produced not already captured in milk sales.</a:t>
          </a:r>
          <a:endParaRPr lang="en-US">
            <a:effectLst/>
          </a:endParaRPr>
        </a:p>
        <a:p>
          <a:pPr eaLnBrk="1" fontAlgn="auto" latinLnBrk="0" hangingPunct="1"/>
          <a:r>
            <a:rPr lang="en-US" sz="1100" b="1" baseline="0">
              <a:solidFill>
                <a:schemeClr val="dk1"/>
              </a:solidFill>
              <a:effectLst/>
              <a:latin typeface="+mn-lt"/>
              <a:ea typeface="+mn-ea"/>
              <a:cs typeface="+mn-cs"/>
            </a:rPr>
            <a:t>Calves Sold: </a:t>
          </a:r>
          <a:r>
            <a:rPr lang="en-US" sz="1100" b="0" baseline="0">
              <a:solidFill>
                <a:schemeClr val="dk1"/>
              </a:solidFill>
              <a:effectLst/>
              <a:latin typeface="+mn-lt"/>
              <a:ea typeface="+mn-ea"/>
              <a:cs typeface="+mn-cs"/>
            </a:rPr>
            <a:t>Bull calf price multiplied by sales percentage.</a:t>
          </a:r>
          <a:endParaRPr lang="en-US">
            <a:effectLst/>
          </a:endParaRPr>
        </a:p>
        <a:p>
          <a:pPr eaLnBrk="1" fontAlgn="auto" latinLnBrk="0" hangingPunct="1"/>
          <a:r>
            <a:rPr lang="en-US" sz="1100" b="1" baseline="0">
              <a:solidFill>
                <a:schemeClr val="dk1"/>
              </a:solidFill>
              <a:effectLst/>
              <a:latin typeface="+mn-lt"/>
              <a:ea typeface="+mn-ea"/>
              <a:cs typeface="+mn-cs"/>
            </a:rPr>
            <a:t>Cull Cows, Replacements, and Yearlings Sold: </a:t>
          </a:r>
          <a:r>
            <a:rPr lang="en-US" sz="1100" b="0" baseline="0">
              <a:solidFill>
                <a:schemeClr val="dk1"/>
              </a:solidFill>
              <a:effectLst/>
              <a:latin typeface="+mn-lt"/>
              <a:ea typeface="+mn-ea"/>
              <a:cs typeface="+mn-cs"/>
            </a:rPr>
            <a:t>Enter average cull weight to be multiplied by price and sales percentage.</a:t>
          </a:r>
          <a:endParaRPr lang="en-US">
            <a:effectLst/>
          </a:endParaRP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$135 per cow and $40 per heifer (multiplied by turnover rate).</a:t>
          </a:r>
          <a:endParaRPr lang="en-US">
            <a:effectLst/>
          </a:endParaRPr>
        </a:p>
        <a:p>
          <a:pPr eaLnBrk="1" fontAlgn="auto" latinLnBrk="0" hangingPunct="1"/>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Patronage refunds, government program payments, etc., should be entered here. </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Heifer Feed Costs: </a:t>
          </a:r>
          <a:r>
            <a:rPr lang="en-US" sz="1100" b="0" baseline="0">
              <a:solidFill>
                <a:schemeClr val="dk1"/>
              </a:solidFill>
              <a:effectLst/>
              <a:latin typeface="+mn-lt"/>
              <a:ea typeface="+mn-ea"/>
              <a:cs typeface="+mn-cs"/>
            </a:rPr>
            <a:t>Enter total dollar feed cost for the entire development of the heifer.  Default is a regression of total feed cost per head in the FINBIN database in relation to corn, soybean, alfalfa, and milk price.  Heifer feed cost is applied on a per-cow basis by taking total feed cost multiplied by the heifer turnover rate plus 1/2 the percentage of culls and heifer death loss.    </a:t>
          </a:r>
          <a:endParaRPr lang="en-US">
            <a:effectLst/>
          </a:endParaRPr>
        </a:p>
        <a:p>
          <a:pPr eaLnBrk="1" fontAlgn="auto" latinLnBrk="0" hangingPunct="1"/>
          <a:r>
            <a:rPr lang="en-US" sz="1100" b="1" baseline="0">
              <a:solidFill>
                <a:schemeClr val="dk1"/>
              </a:solidFill>
              <a:effectLst/>
              <a:latin typeface="+mn-lt"/>
              <a:ea typeface="+mn-ea"/>
              <a:cs typeface="+mn-cs"/>
            </a:rPr>
            <a:t>Feed Cost: </a:t>
          </a:r>
          <a:r>
            <a:rPr lang="en-US" sz="1100" b="0" baseline="0">
              <a:solidFill>
                <a:schemeClr val="dk1"/>
              </a:solidFill>
              <a:effectLst/>
              <a:latin typeface="+mn-lt"/>
              <a:ea typeface="+mn-ea"/>
              <a:cs typeface="+mn-cs"/>
            </a:rPr>
            <a:t>Enter dollar per head per day cost over the entire year (includes both milking and dry periods).  Default is a regression of daily feed cost per head in the FINBIN database in relation to corn, soybean, alfalfa price, and total milk produced per cow.  </a:t>
          </a:r>
          <a:endParaRPr lang="en-US">
            <a:effectLst/>
          </a:endParaRPr>
        </a:p>
        <a:p>
          <a:pPr eaLnBrk="1" fontAlgn="auto" latinLnBrk="0" hangingPunct="1"/>
          <a:r>
            <a:rPr lang="en-US" sz="1100" b="1" baseline="0">
              <a:solidFill>
                <a:schemeClr val="dk1"/>
              </a:solidFill>
              <a:effectLst/>
              <a:latin typeface="+mn-lt"/>
              <a:ea typeface="+mn-ea"/>
              <a:cs typeface="+mn-cs"/>
            </a:rPr>
            <a:t>Breeding Fees: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just over 48 hours per cow (including replacement heifer development) with a total paid labor cost just near $500 per cow.  Unpaid Labor and Management is near $250 per cow, which makes up the other portion of the 48 hours.  These values will vary tremendously depending on the efficiency and level of technology in the operation.  </a:t>
          </a:r>
          <a:endParaRPr lang="en-US">
            <a:effectLst/>
          </a:endParaRPr>
        </a:p>
        <a:p>
          <a:pPr eaLnBrk="1" fontAlgn="auto" latinLnBrk="0" hangingPunct="1"/>
          <a:r>
            <a:rPr lang="en-US" sz="1100" b="1" baseline="0">
              <a:solidFill>
                <a:schemeClr val="dk1"/>
              </a:solidFill>
              <a:effectLst/>
              <a:latin typeface="+mn-lt"/>
              <a:ea typeface="+mn-ea"/>
              <a:cs typeface="+mn-cs"/>
            </a:rPr>
            <a:t>Milk Marketing &amp; Hauling: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endParaRPr lang="en-US">
            <a:effectLst/>
          </a:endParaRPr>
        </a:p>
        <a:p>
          <a:pPr eaLnBrk="1" fontAlgn="auto" latinLnBrk="0" hangingPunct="1"/>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endParaRPr lang="en-US">
            <a:effectLst/>
          </a:endParaRPr>
        </a:p>
      </xdr:txBody>
    </xdr:sp>
    <xdr:clientData/>
  </xdr:twoCellAnchor>
  <xdr:twoCellAnchor>
    <xdr:from>
      <xdr:col>0</xdr:col>
      <xdr:colOff>19050</xdr:colOff>
      <xdr:row>134</xdr:row>
      <xdr:rowOff>333373</xdr:rowOff>
    </xdr:from>
    <xdr:to>
      <xdr:col>11</xdr:col>
      <xdr:colOff>0</xdr:colOff>
      <xdr:row>137</xdr:row>
      <xdr:rowOff>152399</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 y="28193998"/>
          <a:ext cx="7581900" cy="781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xdr:twoCellAnchor>
    <xdr:from>
      <xdr:col>0</xdr:col>
      <xdr:colOff>0</xdr:colOff>
      <xdr:row>98</xdr:row>
      <xdr:rowOff>9525</xdr:rowOff>
    </xdr:from>
    <xdr:to>
      <xdr:col>10</xdr:col>
      <xdr:colOff>752474</xdr:colOff>
      <xdr:row>111</xdr:row>
      <xdr:rowOff>952500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0" y="20345400"/>
          <a:ext cx="7572374" cy="3419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Variable Costs (continued)</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and other hired expenses.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referring to cleaning/chemicals/filters/etc.   Enter other misc. items as needed.</a:t>
          </a:r>
          <a:endParaRPr lang="en-US">
            <a:effectLst/>
          </a:endParaRPr>
        </a:p>
        <a:p>
          <a:pPr eaLnBrk="1" fontAlgn="auto" latinLnBrk="0" hangingPunct="1"/>
          <a:endParaRPr lang="en-US" sz="1100" b="1" baseline="0">
            <a:solidFill>
              <a:schemeClr val="dk1"/>
            </a:solidFill>
            <a:effectLst/>
            <a:latin typeface="+mn-lt"/>
            <a:ea typeface="+mn-ea"/>
            <a:cs typeface="+mn-cs"/>
          </a:endParaRPr>
        </a:p>
        <a:p>
          <a:pPr eaLnBrk="1" fontAlgn="auto" latinLnBrk="0" hangingPunct="1"/>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Fixed Costs </a:t>
          </a:r>
          <a:endParaRPr lang="en-US">
            <a:effectLst/>
          </a:endParaRP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taxes, and other fixed overhead.  Add other fixed costs as needed.  </a:t>
          </a:r>
          <a:endParaRPr lang="en-US">
            <a:effectLst/>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*Note:</a:t>
          </a:r>
          <a:r>
            <a:rPr lang="en-US" sz="1100" i="1" baseline="0">
              <a:solidFill>
                <a:schemeClr val="dk1"/>
              </a:solidFill>
              <a:effectLst/>
              <a:latin typeface="+mn-lt"/>
              <a:ea typeface="+mn-ea"/>
              <a:cs typeface="+mn-cs"/>
            </a:rPr>
            <a:t> FINBIN defaults are based on an average of 42 farms with a current average herd size of 177 cows (milking and dry) and average milk per cow of 23,066 pounds.</a:t>
          </a:r>
          <a:endParaRPr lang="en-US" sz="1000" i="1">
            <a:effectLst/>
          </a:endParaRPr>
        </a:p>
      </xdr:txBody>
    </xdr:sp>
    <xdr:clientData/>
  </xdr:twoCellAnchor>
  <mc:AlternateContent xmlns:mc="http://schemas.openxmlformats.org/markup-compatibility/2006">
    <mc:Choice xmlns:a14="http://schemas.microsoft.com/office/drawing/2010/main" Requires="a14">
      <xdr:twoCellAnchor>
        <xdr:from>
          <xdr:col>12</xdr:col>
          <xdr:colOff>316230</xdr:colOff>
          <xdr:row>3</xdr:row>
          <xdr:rowOff>163830</xdr:rowOff>
        </xdr:from>
        <xdr:to>
          <xdr:col>16</xdr:col>
          <xdr:colOff>316230</xdr:colOff>
          <xdr:row>5</xdr:row>
          <xdr:rowOff>152400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6</xdr:row>
          <xdr:rowOff>190500</xdr:rowOff>
        </xdr:from>
        <xdr:to>
          <xdr:col>16</xdr:col>
          <xdr:colOff>316230</xdr:colOff>
          <xdr:row>7</xdr:row>
          <xdr:rowOff>201930</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19049</xdr:colOff>
      <xdr:row>46</xdr:row>
      <xdr:rowOff>19047</xdr:rowOff>
    </xdr:from>
    <xdr:to>
      <xdr:col>2</xdr:col>
      <xdr:colOff>615314</xdr:colOff>
      <xdr:row>88</xdr:row>
      <xdr:rowOff>1685925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049" y="10934697"/>
          <a:ext cx="3749040" cy="9667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baseline="0">
              <a:solidFill>
                <a:schemeClr val="dk1"/>
              </a:solidFill>
              <a:effectLst/>
              <a:latin typeface="+mn-lt"/>
              <a:ea typeface="+mn-ea"/>
              <a:cs typeface="+mn-cs"/>
            </a:rPr>
            <a:t>	K-State's Agricultural Economics Department annually publishes </a:t>
          </a:r>
          <a:r>
            <a:rPr lang="en-US" sz="1100" i="1" baseline="0">
              <a:solidFill>
                <a:schemeClr val="dk1"/>
              </a:solidFill>
              <a:effectLst/>
              <a:latin typeface="+mn-lt"/>
              <a:ea typeface="+mn-ea"/>
              <a:cs typeface="+mn-cs"/>
            </a:rPr>
            <a:t>Farm Management Guides </a:t>
          </a:r>
          <a:r>
            <a:rPr lang="en-US" sz="1100" baseline="0">
              <a:solidFill>
                <a:schemeClr val="dk1"/>
              </a:solidFill>
              <a:effectLst/>
              <a:latin typeface="+mn-lt"/>
              <a:ea typeface="+mn-ea"/>
              <a:cs typeface="+mn-cs"/>
            </a:rPr>
            <a:t>to estimate the current profitability of different agricultural enterprises.  The format for these livestock budgets allows the user to change certain key inputs to cater the budget to their production situation.  Environmental factors, management, operation size, local cash prices, and a variety of other situations makes budgeting to the entire state of Kansas difficult.  While defaults in the spreadsheet are research-based estimates, users should enter their own prices and costs using the cells in </a:t>
          </a:r>
          <a:r>
            <a:rPr lang="en-US" sz="1100" b="1" baseline="0">
              <a:solidFill>
                <a:srgbClr val="0070C0"/>
              </a:solidFill>
              <a:effectLst/>
              <a:latin typeface="+mn-lt"/>
              <a:ea typeface="+mn-ea"/>
              <a:cs typeface="+mn-cs"/>
            </a:rPr>
            <a:t>blue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Base input and output prices populate each budget without reference to any specific time period or specific production period.  Users are encouraged to update prices to best reflect their specific situation.</a:t>
          </a:r>
          <a:endParaRPr lang="en-US">
            <a:effectLst/>
          </a:endParaRPr>
        </a:p>
        <a:p>
          <a:pPr eaLnBrk="1" fontAlgn="auto" latinLnBrk="0" hangingPunct="1">
            <a:tabLst>
              <a:tab pos="457200" algn="l"/>
            </a:tabLst>
          </a:pPr>
          <a:r>
            <a:rPr lang="en-US" sz="1100" baseline="0">
              <a:solidFill>
                <a:schemeClr val="dk1"/>
              </a:solidFill>
              <a:effectLst/>
              <a:latin typeface="+mn-lt"/>
              <a:ea typeface="+mn-ea"/>
              <a:cs typeface="+mn-cs"/>
            </a:rPr>
            <a:t>	Three different sets of price forecasts are available in the spreadsheet.  By clicking the dropdown menu at the top of the budget, a user can select "Current Prices", "One Year Out Prices", or "Five Year Out Prices".  All price assumptions can be viewed in the </a:t>
          </a:r>
          <a:r>
            <a:rPr lang="en-US" sz="1100" i="1" baseline="0">
              <a:solidFill>
                <a:schemeClr val="dk1"/>
              </a:solidFill>
              <a:effectLst/>
              <a:latin typeface="+mn-lt"/>
              <a:ea typeface="+mn-ea"/>
              <a:cs typeface="+mn-cs"/>
            </a:rPr>
            <a:t>Prices </a:t>
          </a:r>
          <a:r>
            <a:rPr lang="en-US" sz="1100" baseline="0">
              <a:solidFill>
                <a:schemeClr val="dk1"/>
              </a:solidFill>
              <a:effectLst/>
              <a:latin typeface="+mn-lt"/>
              <a:ea typeface="+mn-ea"/>
              <a:cs typeface="+mn-cs"/>
            </a:rPr>
            <a:t>tab and be adjusted according to the user's own expectations and local market conditions.  Only default milk, cattle, and feed prices differ when looking at different time horizons.  Other costs will remain fixed.</a:t>
          </a:r>
          <a:endParaRPr lang="en-US">
            <a:effectLst/>
          </a:endParaRPr>
        </a:p>
        <a:p>
          <a:pPr eaLnBrk="1" fontAlgn="auto" latinLnBrk="0" hangingPunct="1"/>
          <a:r>
            <a:rPr lang="en-US" sz="1100" baseline="0">
              <a:solidFill>
                <a:schemeClr val="dk1"/>
              </a:solidFill>
              <a:effectLst/>
              <a:latin typeface="+mn-lt"/>
              <a:ea typeface="+mn-ea"/>
              <a:cs typeface="+mn-cs"/>
            </a:rPr>
            <a:t>             The source of default estimates are noted in the explanations to follow, but most of the production costs are taken from The Center for Farm Financial Management "FINBIN" database (www.finbin.umn.edu).  Values for the previous 10 years are regressed to predict a current year value using a time trend, also smoothing out year-to-year variation.  Values that did not display a time trend were computed as an average over this time period.   </a:t>
          </a:r>
          <a:endParaRPr lang="en-US">
            <a:effectLst/>
          </a:endParaRPr>
        </a:p>
        <a:p>
          <a:pPr>
            <a:tabLst>
              <a:tab pos="457200" algn="l"/>
            </a:tabLst>
          </a:pPr>
          <a:r>
            <a:rPr lang="en-US" sz="1100" baseline="0">
              <a:solidFill>
                <a:schemeClr val="dk1"/>
              </a:solidFill>
              <a:effectLst/>
              <a:latin typeface="+mn-lt"/>
              <a:ea typeface="+mn-ea"/>
              <a:cs typeface="+mn-cs"/>
            </a:rPr>
            <a:t>	This budget assumes all heifers are raised as a seperate enterprise from milking cows.   See the "Cow Milking-Purchased Replacement" budget or "Cow Milking-Raised Replacement" budget to evaluate other scenarios.  </a:t>
          </a:r>
        </a:p>
        <a:p>
          <a:pPr>
            <a:tabLst>
              <a:tab pos="457200" algn="l"/>
            </a:tabLst>
          </a:pPr>
          <a:r>
            <a:rPr lang="en-US" sz="1100" baseline="0">
              <a:solidFill>
                <a:schemeClr val="dk1"/>
              </a:solidFill>
              <a:effectLst/>
              <a:latin typeface="+mn-lt"/>
              <a:ea typeface="+mn-ea"/>
              <a:cs typeface="+mn-cs"/>
            </a:rPr>
            <a:t>	This is a two year budget, assuming it will take two full years to fully develop a heifer and prepare her to enter the milking herd.</a:t>
          </a:r>
          <a:endParaRPr lang="en-US">
            <a:effectLst/>
          </a:endParaRPr>
        </a:p>
        <a:p>
          <a:pPr>
            <a:tabLst>
              <a:tab pos="457200" algn="l"/>
            </a:tabLst>
          </a:pPr>
          <a:endParaRPr lang="en-US" sz="1100" u="sng" baseline="0">
            <a:solidFill>
              <a:schemeClr val="dk1"/>
            </a:solidFill>
            <a:effectLst/>
            <a:latin typeface="+mn-lt"/>
            <a:ea typeface="+mn-ea"/>
            <a:cs typeface="+mn-cs"/>
          </a:endParaRPr>
        </a:p>
        <a:p>
          <a:pPr>
            <a:tabLst>
              <a:tab pos="457200" algn="l"/>
            </a:tabLst>
          </a:pPr>
          <a:r>
            <a:rPr lang="en-US" sz="1100" u="sng" baseline="0">
              <a:solidFill>
                <a:schemeClr val="dk1"/>
              </a:solidFill>
              <a:effectLst/>
              <a:latin typeface="+mn-lt"/>
              <a:ea typeface="+mn-ea"/>
              <a:cs typeface="+mn-cs"/>
            </a:rPr>
            <a:t>Production Efficiency Measures</a:t>
          </a:r>
          <a:endParaRPr lang="en-US">
            <a:effectLst/>
          </a:endParaRPr>
        </a:p>
        <a:p>
          <a:pPr eaLnBrk="1" fontAlgn="auto" latinLnBrk="0" hangingPunct="1">
            <a:tabLst>
              <a:tab pos="457200" algn="l"/>
            </a:tabLst>
          </a:pPr>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Cull replacements sold as non-breeders.</a:t>
          </a:r>
          <a:endParaRPr lang="en-US">
            <a:effectLst/>
          </a:endParaRPr>
        </a:p>
        <a:p>
          <a:pPr eaLnBrk="1" fontAlgn="auto" latinLnBrk="0" hangingPunct="1">
            <a:tabLst>
              <a:tab pos="457200" algn="l"/>
            </a:tabLst>
          </a:pPr>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Cull replacements sold as yearlings.</a:t>
          </a:r>
          <a:endParaRPr lang="en-US">
            <a:effectLst/>
          </a:endParaRPr>
        </a:p>
        <a:p>
          <a:pPr>
            <a:tabLst>
              <a:tab pos="457200" algn="l"/>
            </a:tabLst>
          </a:pPr>
          <a:r>
            <a:rPr lang="en-US" sz="1100" b="1" baseline="0">
              <a:solidFill>
                <a:schemeClr val="dk1"/>
              </a:solidFill>
              <a:effectLst/>
              <a:latin typeface="+mn-lt"/>
              <a:ea typeface="+mn-ea"/>
              <a:cs typeface="+mn-cs"/>
            </a:rPr>
            <a:t>Replacement Heifer Death Loss: </a:t>
          </a:r>
          <a:r>
            <a:rPr lang="en-US" sz="1100" b="0" baseline="0">
              <a:solidFill>
                <a:schemeClr val="dk1"/>
              </a:solidFill>
              <a:effectLst/>
              <a:latin typeface="+mn-lt"/>
              <a:ea typeface="+mn-ea"/>
              <a:cs typeface="+mn-cs"/>
            </a:rPr>
            <a:t>Percentage of calves/heifers normally lost.</a:t>
          </a:r>
        </a:p>
        <a:p>
          <a:pPr>
            <a:tabLst>
              <a:tab pos="457200" algn="l"/>
            </a:tabLst>
          </a:pPr>
          <a:endParaRPr lang="en-US" sz="1100" b="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Returns</a:t>
          </a:r>
          <a:endParaRPr lang="en-US">
            <a:effectLst/>
          </a:endParaRPr>
        </a:p>
        <a:p>
          <a:pPr eaLnBrk="1" fontAlgn="auto" latinLnBrk="0" hangingPunct="1"/>
          <a:r>
            <a:rPr lang="en-US" sz="1100" b="1" baseline="0">
              <a:solidFill>
                <a:schemeClr val="dk1"/>
              </a:solidFill>
              <a:effectLst/>
              <a:latin typeface="+mn-lt"/>
              <a:ea typeface="+mn-ea"/>
              <a:cs typeface="+mn-cs"/>
            </a:rPr>
            <a:t>Springer Heifer Sales: </a:t>
          </a:r>
          <a:r>
            <a:rPr lang="en-US" sz="1100" b="0" baseline="0">
              <a:solidFill>
                <a:schemeClr val="dk1"/>
              </a:solidFill>
              <a:effectLst/>
              <a:latin typeface="+mn-lt"/>
              <a:ea typeface="+mn-ea"/>
              <a:cs typeface="+mn-cs"/>
            </a:rPr>
            <a:t>Replacement Heifer price multiplied by 100% minus cull replacements sold, cull yearlings sold, and death loss.</a:t>
          </a:r>
          <a:endParaRPr lang="en-US">
            <a:effectLst/>
          </a:endParaRPr>
        </a:p>
        <a:p>
          <a:pPr eaLnBrk="1" fontAlgn="auto" latinLnBrk="0" hangingPunct="1"/>
          <a:r>
            <a:rPr lang="en-US" sz="1100" b="1" baseline="0">
              <a:solidFill>
                <a:schemeClr val="dk1"/>
              </a:solidFill>
              <a:effectLst/>
              <a:latin typeface="+mn-lt"/>
              <a:ea typeface="+mn-ea"/>
              <a:cs typeface="+mn-cs"/>
            </a:rPr>
            <a:t>Cull Replacements Sold: </a:t>
          </a:r>
          <a:r>
            <a:rPr lang="en-US" sz="1100" b="0" baseline="0">
              <a:solidFill>
                <a:schemeClr val="dk1"/>
              </a:solidFill>
              <a:effectLst/>
              <a:latin typeface="+mn-lt"/>
              <a:ea typeface="+mn-ea"/>
              <a:cs typeface="+mn-cs"/>
            </a:rPr>
            <a:t>Discounted fed heifer price multiplied by heifer average weight and cull percentage.  </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Cull Yearlings Sold: </a:t>
          </a:r>
          <a:r>
            <a:rPr lang="en-US" sz="1100" b="0" baseline="0">
              <a:solidFill>
                <a:schemeClr val="dk1"/>
              </a:solidFill>
              <a:effectLst/>
              <a:latin typeface="+mn-lt"/>
              <a:ea typeface="+mn-ea"/>
              <a:cs typeface="+mn-cs"/>
            </a:rPr>
            <a:t>Discounted feeder heifer price multiplied by heifer average weight and cull percentage.  </a:t>
          </a:r>
        </a:p>
        <a:p>
          <a:pPr eaLnBrk="1" fontAlgn="auto" latinLnBrk="0" hangingPunct="1"/>
          <a:r>
            <a:rPr lang="en-US" sz="1100" b="1" baseline="0">
              <a:solidFill>
                <a:schemeClr val="dk1"/>
              </a:solidFill>
              <a:effectLst/>
              <a:latin typeface="+mn-lt"/>
              <a:ea typeface="+mn-ea"/>
              <a:cs typeface="+mn-cs"/>
            </a:rPr>
            <a:t>Manure Credit: </a:t>
          </a:r>
          <a:r>
            <a:rPr lang="en-US" sz="1100" b="0" baseline="0">
              <a:solidFill>
                <a:schemeClr val="dk1"/>
              </a:solidFill>
              <a:effectLst/>
              <a:latin typeface="+mn-lt"/>
              <a:ea typeface="+mn-ea"/>
              <a:cs typeface="+mn-cs"/>
            </a:rPr>
            <a:t>Assumes a value for nitrogen and phosphorus if sold or value to field in reduced fertilizer expense. Default is $40 per heifer.</a:t>
          </a:r>
          <a:endParaRPr lang="en-US">
            <a:effectLst/>
          </a:endParaRPr>
        </a:p>
        <a:p>
          <a:pPr>
            <a:tabLst>
              <a:tab pos="457200" algn="l"/>
            </a:tabLst>
          </a:pPr>
          <a:endParaRPr lang="en-US" sz="1100" b="0" baseline="0">
            <a:solidFill>
              <a:schemeClr val="dk1"/>
            </a:solidFill>
            <a:effectLst/>
            <a:latin typeface="+mn-lt"/>
            <a:ea typeface="+mn-ea"/>
            <a:cs typeface="+mn-cs"/>
          </a:endParaRPr>
        </a:p>
      </xdr:txBody>
    </xdr:sp>
    <xdr:clientData/>
  </xdr:twoCellAnchor>
  <xdr:twoCellAnchor>
    <xdr:from>
      <xdr:col>2</xdr:col>
      <xdr:colOff>615951</xdr:colOff>
      <xdr:row>46</xdr:row>
      <xdr:rowOff>19046</xdr:rowOff>
    </xdr:from>
    <xdr:to>
      <xdr:col>9</xdr:col>
      <xdr:colOff>859791</xdr:colOff>
      <xdr:row>88</xdr:row>
      <xdr:rowOff>1676399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768726" y="10934696"/>
          <a:ext cx="3749040" cy="9658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Income: </a:t>
          </a:r>
          <a:r>
            <a:rPr lang="en-US" sz="1100" b="0" baseline="0">
              <a:solidFill>
                <a:schemeClr val="dk1"/>
              </a:solidFill>
              <a:effectLst/>
              <a:latin typeface="+mn-lt"/>
              <a:ea typeface="+mn-ea"/>
              <a:cs typeface="+mn-cs"/>
            </a:rPr>
            <a:t>Placeholder for any other income received by the heifer enterprise.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Purchase of Heifer Calf: </a:t>
          </a:r>
          <a:r>
            <a:rPr lang="en-US" sz="1100" b="0" baseline="0">
              <a:solidFill>
                <a:schemeClr val="dk1"/>
              </a:solidFill>
              <a:effectLst/>
              <a:latin typeface="+mn-lt"/>
              <a:ea typeface="+mn-ea"/>
              <a:cs typeface="+mn-cs"/>
            </a:rPr>
            <a:t>Price per head to purchase baby heifer calves.  This way a gross income can be calculated.</a:t>
          </a:r>
          <a:endParaRPr lang="en-US">
            <a:effectLst/>
          </a:endParaRPr>
        </a:p>
        <a:p>
          <a:pPr eaLnBrk="1" fontAlgn="auto" latinLnBrk="0" hangingPunct="1"/>
          <a:endParaRPr lang="en-US" sz="1100" u="sng"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Feed Costs: </a:t>
          </a:r>
          <a:r>
            <a:rPr lang="en-US" sz="1100" b="0" baseline="0">
              <a:solidFill>
                <a:schemeClr val="dk1"/>
              </a:solidFill>
              <a:effectLst/>
              <a:latin typeface="+mn-lt"/>
              <a:ea typeface="+mn-ea"/>
              <a:cs typeface="+mn-cs"/>
            </a:rPr>
            <a:t>Enter total dollar feed cost for the entire development of the heifer.  Default is a regression of total feed cost per head in the FINBIN database in relation to corn, soybean, alfalfa, and milk price.  </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FINBIN average labor is near 14 hours per heifer with a total paid labor cost near $140 per heifer.  Unpaid Labor and Management is near $87 per heifer, which makes up the other portion of the 14 hours.  These values will vary tremendously depending on the efficiency and level of technology in the operation.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Breeding Fees: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Veterinary: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Fuel &amp; Oil: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Utilities: </a:t>
          </a:r>
          <a:r>
            <a:rPr lang="en-US" sz="1100" b="0" baseline="0">
              <a:solidFill>
                <a:schemeClr val="dk1"/>
              </a:solidFill>
              <a:effectLst/>
              <a:latin typeface="+mn-lt"/>
              <a:ea typeface="+mn-ea"/>
              <a:cs typeface="+mn-cs"/>
            </a:rPr>
            <a:t>Default is FINBIN value.  </a:t>
          </a:r>
          <a:endParaRPr lang="en-US">
            <a:effectLst/>
          </a:endParaRPr>
        </a:p>
        <a:p>
          <a:pPr eaLnBrk="1" fontAlgn="auto" latinLnBrk="0" hangingPunct="1"/>
          <a:r>
            <a:rPr lang="en-US" sz="1100" b="1" baseline="0">
              <a:solidFill>
                <a:schemeClr val="dk1"/>
              </a:solidFill>
              <a:effectLst/>
              <a:latin typeface="+mn-lt"/>
              <a:ea typeface="+mn-ea"/>
              <a:cs typeface="+mn-cs"/>
            </a:rPr>
            <a:t>Machinery, Facility/Equip. Repairs: </a:t>
          </a:r>
          <a:r>
            <a:rPr lang="en-US" sz="1100" b="0" baseline="0">
              <a:solidFill>
                <a:schemeClr val="dk1"/>
              </a:solidFill>
              <a:effectLst/>
              <a:latin typeface="+mn-lt"/>
              <a:ea typeface="+mn-ea"/>
              <a:cs typeface="+mn-cs"/>
            </a:rPr>
            <a:t>Default is FINBIN value.</a:t>
          </a:r>
          <a:endParaRPr lang="en-US">
            <a:effectLst/>
          </a:endParaRPr>
        </a:p>
        <a:p>
          <a:pPr eaLnBrk="1" fontAlgn="auto" latinLnBrk="0" hangingPunct="1"/>
          <a:r>
            <a:rPr lang="en-US" sz="1100" b="1" baseline="0">
              <a:solidFill>
                <a:schemeClr val="dk1"/>
              </a:solidFill>
              <a:effectLst/>
              <a:latin typeface="+mn-lt"/>
              <a:ea typeface="+mn-ea"/>
              <a:cs typeface="+mn-cs"/>
            </a:rPr>
            <a:t>Bedding: </a:t>
          </a:r>
          <a:r>
            <a:rPr lang="en-US" sz="1100" b="0" baseline="0">
              <a:solidFill>
                <a:schemeClr val="dk1"/>
              </a:solidFill>
              <a:effectLst/>
              <a:latin typeface="+mn-lt"/>
              <a:ea typeface="+mn-ea"/>
              <a:cs typeface="+mn-cs"/>
            </a:rPr>
            <a:t>Default is FINBIN value.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Custom Hire: </a:t>
          </a:r>
          <a:r>
            <a:rPr lang="en-US" sz="1100" b="0" baseline="0">
              <a:solidFill>
                <a:schemeClr val="dk1"/>
              </a:solidFill>
              <a:effectLst/>
              <a:latin typeface="+mn-lt"/>
              <a:ea typeface="+mn-ea"/>
              <a:cs typeface="+mn-cs"/>
            </a:rPr>
            <a:t>Default is FINBIN value for expenses related to manure hauling, hoof trimming, and other hired expenses. </a:t>
          </a:r>
          <a:endParaRPr lang="en-US">
            <a:effectLst/>
          </a:endParaRPr>
        </a:p>
        <a:p>
          <a:pPr eaLnBrk="1" fontAlgn="auto" latinLnBrk="0" hangingPunct="1"/>
          <a:r>
            <a:rPr lang="en-US" sz="1100" b="1" baseline="0">
              <a:solidFill>
                <a:schemeClr val="dk1"/>
              </a:solidFill>
              <a:effectLst/>
              <a:latin typeface="+mn-lt"/>
              <a:ea typeface="+mn-ea"/>
              <a:cs typeface="+mn-cs"/>
            </a:rPr>
            <a:t>Cash Interest Paid: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FINBIN value for any "Dairy Supplies", Operating Interest, and Marketing.  Enter other misc. items as needed.</a:t>
          </a:r>
          <a:endParaRPr lang="en-US">
            <a:effectLst/>
          </a:endParaRPr>
        </a:p>
        <a:p>
          <a:pPr eaLnBrk="1" fontAlgn="auto" latinLnBrk="0" hangingPunct="1"/>
          <a:endParaRPr lang="en-US" sz="1100" i="1">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Fixed Costs </a:t>
          </a:r>
          <a:endParaRPr lang="en-US">
            <a:effectLst/>
          </a:endParaRPr>
        </a:p>
        <a:p>
          <a:pPr eaLnBrk="1" fontAlgn="auto" latinLnBrk="0" hangingPunct="1"/>
          <a:r>
            <a:rPr lang="en-US" sz="1100" b="1" baseline="0">
              <a:solidFill>
                <a:schemeClr val="dk1"/>
              </a:solidFill>
              <a:effectLst/>
              <a:latin typeface="+mn-lt"/>
              <a:ea typeface="+mn-ea"/>
              <a:cs typeface="+mn-cs"/>
            </a:rPr>
            <a:t>Depreciation: </a:t>
          </a:r>
          <a:r>
            <a:rPr lang="en-US" sz="1100" b="0" baseline="0">
              <a:solidFill>
                <a:schemeClr val="dk1"/>
              </a:solidFill>
              <a:effectLst/>
              <a:latin typeface="+mn-lt"/>
              <a:ea typeface="+mn-ea"/>
              <a:cs typeface="+mn-cs"/>
            </a:rPr>
            <a:t>Default is based on FINBIN values for buildings and machinery.  </a:t>
          </a: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Default is FINBIN value.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Opportunity Cost of Investment: </a:t>
          </a:r>
          <a:r>
            <a:rPr lang="en-US" sz="1100" b="0" baseline="0">
              <a:solidFill>
                <a:schemeClr val="dk1"/>
              </a:solidFill>
              <a:effectLst/>
              <a:latin typeface="+mn-lt"/>
              <a:ea typeface="+mn-ea"/>
              <a:cs typeface="+mn-cs"/>
            </a:rPr>
            <a:t>This is not a cost listed in the FINBIN database, but typically the Kansas Farm Management Association (KFMA) has this near 5.5% of total costs for Kansas dairies.</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Default is FINBIN value for building and equipment leases, and other fixed overhead.  Add other fixed costs as needed.  </a:t>
          </a:r>
          <a:endParaRPr lang="en-US">
            <a:effectLst/>
          </a:endParaRPr>
        </a:p>
        <a:p>
          <a:endParaRPr lang="en-US" sz="1100" i="1">
            <a:solidFill>
              <a:schemeClr val="dk1"/>
            </a:solidFill>
            <a:effectLst/>
            <a:latin typeface="+mn-lt"/>
            <a:ea typeface="+mn-ea"/>
            <a:cs typeface="+mn-cs"/>
          </a:endParaRP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*Note:</a:t>
          </a:r>
          <a:r>
            <a:rPr lang="en-US" sz="1100" i="1" baseline="0">
              <a:solidFill>
                <a:schemeClr val="dk1"/>
              </a:solidFill>
              <a:effectLst/>
              <a:latin typeface="+mn-lt"/>
              <a:ea typeface="+mn-ea"/>
              <a:cs typeface="+mn-cs"/>
            </a:rPr>
            <a:t> FINBIN defaults are based on an average of 55 farms with a current average inventory of 150 heifers.  </a:t>
          </a:r>
          <a:endParaRPr lang="en-US">
            <a:effectLst/>
          </a:endParaRPr>
        </a:p>
        <a:p>
          <a:pPr eaLnBrk="1" fontAlgn="auto" latinLnBrk="0" hangingPunct="1"/>
          <a:endParaRPr lang="en-US">
            <a:effectLst/>
          </a:endParaRPr>
        </a:p>
      </xdr:txBody>
    </xdr:sp>
    <xdr:clientData/>
  </xdr:twoCellAnchor>
  <xdr:twoCellAnchor>
    <xdr:from>
      <xdr:col>0</xdr:col>
      <xdr:colOff>59531</xdr:colOff>
      <xdr:row>125</xdr:row>
      <xdr:rowOff>1</xdr:rowOff>
    </xdr:from>
    <xdr:to>
      <xdr:col>9</xdr:col>
      <xdr:colOff>762001</xdr:colOff>
      <xdr:row>128</xdr:row>
      <xdr:rowOff>171451</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59531" y="25679401"/>
          <a:ext cx="674132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Robin Reid	</a:t>
          </a:r>
          <a:r>
            <a:rPr lang="en-US" sz="1000" baseline="0"/>
            <a:t>                        </a:t>
          </a:r>
          <a:r>
            <a:rPr lang="en-US" sz="1000"/>
            <a:t>Glynn</a:t>
          </a:r>
          <a:r>
            <a:rPr lang="en-US" sz="1000" baseline="0"/>
            <a:t> Tonsor	               </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Extension Assoicate            Assistant Professor</a:t>
          </a:r>
          <a:r>
            <a:rPr lang="en-US" sz="10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000"/>
            <a:t>KSU-Ag. Economics</a:t>
          </a:r>
          <a:r>
            <a:rPr lang="en-US" sz="1000" baseline="0"/>
            <a:t>             </a:t>
          </a:r>
          <a:r>
            <a:rPr lang="en-US" sz="1000">
              <a:solidFill>
                <a:schemeClr val="dk1"/>
              </a:solidFill>
              <a:effectLst/>
              <a:latin typeface="+mn-lt"/>
              <a:ea typeface="+mn-ea"/>
              <a:cs typeface="+mn-cs"/>
            </a:rPr>
            <a:t>KSU-Ag. Economics</a:t>
          </a:r>
          <a:r>
            <a:rPr lang="en-US" sz="1000" baseline="0">
              <a:solidFill>
                <a:schemeClr val="dk1"/>
              </a:solidFill>
              <a:effectLst/>
              <a:latin typeface="+mn-lt"/>
              <a:ea typeface="+mn-ea"/>
              <a:cs typeface="+mn-cs"/>
            </a:rPr>
            <a:t>             </a:t>
          </a:r>
          <a:endParaRPr lang="en-US" sz="1000"/>
        </a:p>
      </xdr:txBody>
    </xdr:sp>
    <xdr:clientData/>
  </xdr:twoCellAnchor>
  <mc:AlternateContent xmlns:mc="http://schemas.openxmlformats.org/markup-compatibility/2006">
    <mc:Choice xmlns:a14="http://schemas.microsoft.com/office/drawing/2010/main" Requires="a14">
      <xdr:twoCellAnchor>
        <xdr:from>
          <xdr:col>12</xdr:col>
          <xdr:colOff>0</xdr:colOff>
          <xdr:row>2</xdr:row>
          <xdr:rowOff>76200</xdr:rowOff>
        </xdr:from>
        <xdr:to>
          <xdr:col>15</xdr:col>
          <xdr:colOff>514350</xdr:colOff>
          <xdr:row>4</xdr:row>
          <xdr:rowOff>30480</xdr:rowOff>
        </xdr:to>
        <xdr:sp macro="" textlink="">
          <xdr:nvSpPr>
            <xdr:cNvPr id="15364" name="Button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US" sz="1100" b="1" i="0" u="none" strike="noStrike" baseline="0">
                  <a:solidFill>
                    <a:srgbClr val="000000"/>
                  </a:solidFill>
                  <a:latin typeface="Calibri"/>
                  <a:cs typeface="Calibri"/>
                </a:rPr>
                <a:t>Print Budget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601980</xdr:colOff>
          <xdr:row>5</xdr:row>
          <xdr:rowOff>38100</xdr:rowOff>
        </xdr:from>
        <xdr:to>
          <xdr:col>15</xdr:col>
          <xdr:colOff>514350</xdr:colOff>
          <xdr:row>6</xdr:row>
          <xdr:rowOff>106680</xdr:rowOff>
        </xdr:to>
        <xdr:sp macro="" textlink="">
          <xdr:nvSpPr>
            <xdr:cNvPr id="15365" name="Button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US" sz="1100" b="1" i="0" u="none" strike="noStrike" baseline="0">
                  <a:solidFill>
                    <a:srgbClr val="000000"/>
                  </a:solidFill>
                  <a:latin typeface="Calibri"/>
                  <a:cs typeface="Calibri"/>
                </a:rPr>
                <a:t>Print Budget &amp; Explanation Pages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inreid/Documents/Livestock%20Budgets/KSU%20Livestock%20Farm%20Management%20Guides%20-Robin(3.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rices"/>
      <sheetName val="Feed"/>
      <sheetName val="Cow-Calf"/>
      <sheetName val="Backgrounding"/>
      <sheetName val="Stocker"/>
      <sheetName val="Feedlot"/>
      <sheetName val="Dairy Cows"/>
    </sheetNames>
    <sheetDataSet>
      <sheetData sheetId="0">
        <row r="2">
          <cell r="D2">
            <v>42066</v>
          </cell>
        </row>
      </sheetData>
      <sheetData sheetId="1">
        <row r="1">
          <cell r="A1" t="str">
            <v>Current Prices</v>
          </cell>
        </row>
        <row r="2">
          <cell r="A2" t="str">
            <v>One Year Out Prices</v>
          </cell>
        </row>
        <row r="3">
          <cell r="A3" t="str">
            <v>Five Years Out Prices</v>
          </cell>
        </row>
      </sheetData>
      <sheetData sheetId="2">
        <row r="20">
          <cell r="I20">
            <v>1.5</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tonsor@k-state.edu" TargetMode="External"/><Relationship Id="rId1" Type="http://schemas.openxmlformats.org/officeDocument/2006/relationships/hyperlink" Target="mailto:robinreid@ksu.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59999389629810485"/>
    <pageSetUpPr fitToPage="1"/>
  </sheetPr>
  <dimension ref="B1:X48"/>
  <sheetViews>
    <sheetView showGridLines="0" tabSelected="1" zoomScale="92" zoomScaleNormal="100" workbookViewId="0">
      <selection activeCell="N52" sqref="N52"/>
    </sheetView>
  </sheetViews>
  <sheetFormatPr defaultColWidth="9.15625" defaultRowHeight="12.3" x14ac:dyDescent="0.4"/>
  <cols>
    <col min="1" max="1" width="3.578125" style="181" customWidth="1"/>
    <col min="2" max="4" width="9.15625" style="181"/>
    <col min="5" max="5" width="9" style="181" customWidth="1"/>
    <col min="6" max="11" width="9.15625" style="181"/>
    <col min="12" max="12" width="23.26171875" style="181" customWidth="1"/>
    <col min="13" max="13" width="3.68359375" style="181" customWidth="1"/>
    <col min="14" max="16384" width="9.15625" style="181"/>
  </cols>
  <sheetData>
    <row r="1" spans="2:24" ht="10.5" customHeight="1" thickBot="1" x14ac:dyDescent="0.45"/>
    <row r="2" spans="2:24" ht="7.5" customHeight="1" x14ac:dyDescent="0.5">
      <c r="B2" s="182"/>
      <c r="C2" s="183"/>
      <c r="D2" s="183"/>
      <c r="E2" s="183"/>
      <c r="F2" s="183"/>
      <c r="G2" s="183"/>
      <c r="H2" s="183"/>
      <c r="I2" s="183"/>
      <c r="J2" s="183"/>
      <c r="K2" s="183"/>
      <c r="L2" s="184"/>
    </row>
    <row r="3" spans="2:24" ht="25.8" x14ac:dyDescent="0.95">
      <c r="B3" s="185" t="s">
        <v>228</v>
      </c>
      <c r="C3" s="186"/>
      <c r="D3" s="186"/>
      <c r="E3" s="186"/>
      <c r="F3" s="186"/>
      <c r="G3" s="186"/>
      <c r="H3" s="187"/>
      <c r="I3" s="187"/>
      <c r="J3" s="188"/>
      <c r="K3" s="188"/>
      <c r="L3" s="189"/>
    </row>
    <row r="4" spans="2:24" ht="18" customHeight="1" x14ac:dyDescent="0.65">
      <c r="B4" s="190"/>
      <c r="C4" s="191"/>
      <c r="D4" s="192"/>
      <c r="E4" s="192"/>
      <c r="F4" s="193"/>
      <c r="G4" s="193"/>
      <c r="H4" s="187"/>
      <c r="I4" s="187"/>
      <c r="J4" s="188"/>
      <c r="K4" s="188"/>
      <c r="L4" s="189"/>
    </row>
    <row r="5" spans="2:24" ht="15.75" customHeight="1" x14ac:dyDescent="0.5">
      <c r="B5" s="225" t="s">
        <v>245</v>
      </c>
      <c r="C5" s="226"/>
      <c r="D5" s="226"/>
      <c r="E5" s="226"/>
      <c r="F5" s="226"/>
      <c r="G5" s="226"/>
      <c r="H5" s="226"/>
      <c r="I5" s="226"/>
      <c r="J5" s="188"/>
      <c r="K5" s="188"/>
      <c r="L5" s="189"/>
      <c r="N5" s="228"/>
      <c r="O5" s="229"/>
      <c r="P5" s="229"/>
      <c r="Q5" s="229"/>
      <c r="R5" s="229"/>
      <c r="S5" s="229"/>
      <c r="T5" s="229"/>
      <c r="U5" s="229"/>
      <c r="V5" s="229"/>
      <c r="W5" s="229"/>
      <c r="X5" s="229"/>
    </row>
    <row r="6" spans="2:24" ht="15" x14ac:dyDescent="0.5">
      <c r="B6" s="227"/>
      <c r="C6" s="226"/>
      <c r="D6" s="226"/>
      <c r="E6" s="226"/>
      <c r="F6" s="226"/>
      <c r="G6" s="226"/>
      <c r="H6" s="226"/>
      <c r="I6" s="226"/>
      <c r="J6" s="188"/>
      <c r="K6" s="188"/>
      <c r="L6" s="189"/>
      <c r="N6" s="229"/>
      <c r="O6" s="229"/>
      <c r="P6" s="229"/>
      <c r="Q6" s="229"/>
      <c r="R6" s="229"/>
      <c r="S6" s="229"/>
      <c r="T6" s="229"/>
      <c r="U6" s="229"/>
      <c r="V6" s="229"/>
      <c r="W6" s="229"/>
      <c r="X6" s="229"/>
    </row>
    <row r="7" spans="2:24" ht="5.25" customHeight="1" x14ac:dyDescent="0.5">
      <c r="B7" s="194"/>
      <c r="C7" s="195"/>
      <c r="D7" s="195"/>
      <c r="E7" s="195"/>
      <c r="F7" s="195"/>
      <c r="G7" s="195"/>
      <c r="H7" s="195"/>
      <c r="I7" s="188"/>
      <c r="J7" s="188"/>
      <c r="K7" s="196"/>
      <c r="L7" s="197"/>
    </row>
    <row r="8" spans="2:24" ht="13.5" customHeight="1" thickBot="1" x14ac:dyDescent="0.55000000000000004">
      <c r="B8" s="198"/>
      <c r="C8" s="230"/>
      <c r="D8" s="231"/>
      <c r="E8" s="232"/>
      <c r="F8" s="233"/>
      <c r="G8" s="199"/>
      <c r="H8" s="199"/>
      <c r="I8" s="199"/>
      <c r="J8" s="199"/>
      <c r="K8" s="200"/>
      <c r="L8" s="201" t="s">
        <v>248</v>
      </c>
      <c r="N8" s="234"/>
    </row>
    <row r="9" spans="2:24" ht="9.75" customHeight="1" x14ac:dyDescent="0.5">
      <c r="B9" s="202"/>
      <c r="C9" s="202"/>
      <c r="D9" s="202"/>
      <c r="E9" s="202"/>
      <c r="F9" s="202"/>
      <c r="G9" s="203"/>
      <c r="H9" s="202"/>
      <c r="I9" s="202"/>
      <c r="J9" s="202"/>
      <c r="K9" s="202"/>
      <c r="L9" s="202"/>
      <c r="N9" s="234"/>
    </row>
    <row r="28" spans="2:12" ht="15.6" x14ac:dyDescent="0.6">
      <c r="B28" s="204" t="s">
        <v>229</v>
      </c>
      <c r="C28" s="205"/>
      <c r="D28" s="205"/>
      <c r="E28" s="205"/>
      <c r="F28" s="206"/>
      <c r="G28" s="206"/>
      <c r="H28" s="206"/>
      <c r="I28" s="206"/>
      <c r="J28" s="206"/>
      <c r="K28" s="206"/>
      <c r="L28" s="206"/>
    </row>
    <row r="29" spans="2:12" x14ac:dyDescent="0.4">
      <c r="B29" s="235" t="s">
        <v>230</v>
      </c>
      <c r="C29" s="235"/>
      <c r="D29" s="235"/>
      <c r="E29" s="235"/>
      <c r="F29" s="235"/>
      <c r="G29" s="235"/>
      <c r="H29" s="235"/>
      <c r="I29" s="235"/>
      <c r="J29" s="235"/>
      <c r="K29" s="235"/>
      <c r="L29" s="235"/>
    </row>
    <row r="30" spans="2:12" ht="48" customHeight="1" x14ac:dyDescent="0.4">
      <c r="B30" s="235"/>
      <c r="C30" s="235"/>
      <c r="D30" s="235"/>
      <c r="E30" s="235"/>
      <c r="F30" s="235"/>
      <c r="G30" s="235"/>
      <c r="H30" s="235"/>
      <c r="I30" s="235"/>
      <c r="J30" s="235"/>
      <c r="K30" s="235"/>
      <c r="L30" s="235"/>
    </row>
    <row r="31" spans="2:12" ht="19.5" customHeight="1" x14ac:dyDescent="0.6">
      <c r="B31" s="236" t="s">
        <v>231</v>
      </c>
      <c r="C31" s="237"/>
      <c r="D31" s="237"/>
      <c r="E31" s="237"/>
      <c r="F31" s="207"/>
      <c r="G31" s="208"/>
      <c r="H31" s="207"/>
      <c r="I31" s="207"/>
      <c r="J31" s="207"/>
      <c r="K31" s="207"/>
      <c r="L31" s="207"/>
    </row>
    <row r="32" spans="2:12" ht="15.75" customHeight="1" x14ac:dyDescent="0.4">
      <c r="B32" s="238" t="s">
        <v>232</v>
      </c>
      <c r="C32" s="238"/>
      <c r="D32" s="238"/>
      <c r="E32" s="238"/>
      <c r="F32" s="238"/>
      <c r="G32" s="238"/>
      <c r="H32" s="238"/>
      <c r="I32" s="238"/>
      <c r="J32" s="238"/>
      <c r="K32" s="238"/>
      <c r="L32" s="238"/>
    </row>
    <row r="33" spans="2:17" ht="15.75" customHeight="1" x14ac:dyDescent="0.4">
      <c r="B33" s="238"/>
      <c r="C33" s="238"/>
      <c r="D33" s="238"/>
      <c r="E33" s="238"/>
      <c r="F33" s="238"/>
      <c r="G33" s="238"/>
      <c r="H33" s="238"/>
      <c r="I33" s="238"/>
      <c r="J33" s="238"/>
      <c r="K33" s="238"/>
      <c r="L33" s="238"/>
    </row>
    <row r="34" spans="2:17" ht="12.75" customHeight="1" x14ac:dyDescent="0.4">
      <c r="C34" s="209"/>
      <c r="D34" s="209"/>
      <c r="E34" s="209"/>
      <c r="F34" s="209"/>
      <c r="G34" s="209"/>
      <c r="H34" s="209"/>
      <c r="I34" s="209"/>
      <c r="J34" s="209"/>
      <c r="K34" s="209"/>
      <c r="L34" s="209"/>
    </row>
    <row r="35" spans="2:17" ht="12.75" customHeight="1" x14ac:dyDescent="0.4">
      <c r="B35" s="209"/>
      <c r="C35" s="209"/>
      <c r="D35" s="209"/>
      <c r="E35" s="209"/>
      <c r="F35" s="209"/>
      <c r="G35" s="209"/>
      <c r="H35" s="209"/>
      <c r="I35" s="209"/>
      <c r="J35" s="209"/>
      <c r="K35" s="209"/>
      <c r="L35" s="209"/>
    </row>
    <row r="36" spans="2:17" ht="15.6" hidden="1" x14ac:dyDescent="0.6">
      <c r="B36" s="210"/>
      <c r="C36" s="210"/>
      <c r="D36" s="210"/>
      <c r="E36" s="210"/>
      <c r="F36" s="210"/>
      <c r="G36" s="210"/>
      <c r="H36" s="210"/>
      <c r="I36" s="210"/>
      <c r="J36" s="210"/>
      <c r="K36" s="210"/>
      <c r="L36" s="210"/>
    </row>
    <row r="37" spans="2:17" ht="15.6" x14ac:dyDescent="0.6">
      <c r="B37" s="211" t="s">
        <v>233</v>
      </c>
      <c r="C37" s="206"/>
      <c r="D37" s="207"/>
      <c r="E37" s="207"/>
      <c r="F37" s="207"/>
      <c r="G37" s="207"/>
      <c r="H37" s="207"/>
      <c r="I37" s="207"/>
      <c r="J37" s="207"/>
      <c r="K37" s="207"/>
      <c r="L37" s="207"/>
    </row>
    <row r="38" spans="2:17" ht="18" customHeight="1" x14ac:dyDescent="0.4">
      <c r="B38" s="239" t="s">
        <v>234</v>
      </c>
      <c r="C38" s="239"/>
      <c r="D38" s="239"/>
      <c r="E38" s="239"/>
      <c r="F38" s="239"/>
      <c r="G38" s="239"/>
      <c r="H38" s="239"/>
      <c r="I38" s="239"/>
      <c r="J38" s="239"/>
      <c r="K38" s="239"/>
      <c r="L38" s="239"/>
    </row>
    <row r="39" spans="2:17" ht="12.75" customHeight="1" x14ac:dyDescent="0.4">
      <c r="B39" s="239"/>
      <c r="C39" s="239"/>
      <c r="D39" s="239"/>
      <c r="E39" s="239"/>
      <c r="F39" s="239"/>
      <c r="G39" s="239"/>
      <c r="H39" s="239"/>
      <c r="I39" s="239"/>
      <c r="J39" s="239"/>
      <c r="K39" s="239"/>
      <c r="L39" s="239"/>
    </row>
    <row r="40" spans="2:17" ht="15.6" x14ac:dyDescent="0.6">
      <c r="B40" s="206" t="s">
        <v>235</v>
      </c>
      <c r="C40" s="206"/>
      <c r="D40" s="206"/>
      <c r="E40" s="212"/>
      <c r="F40" s="206"/>
      <c r="G40" s="206"/>
      <c r="H40" s="206" t="s">
        <v>236</v>
      </c>
      <c r="I40" s="206"/>
      <c r="J40" s="206"/>
      <c r="K40" s="206"/>
      <c r="L40" s="206"/>
      <c r="P40" s="213"/>
      <c r="Q40" s="213"/>
    </row>
    <row r="41" spans="2:17" ht="15.6" x14ac:dyDescent="0.6">
      <c r="B41" s="206" t="s">
        <v>237</v>
      </c>
      <c r="C41" s="206"/>
      <c r="D41" s="206"/>
      <c r="E41" s="212"/>
      <c r="F41" s="206"/>
      <c r="G41" s="206"/>
      <c r="H41" s="206" t="s">
        <v>238</v>
      </c>
      <c r="I41" s="206"/>
      <c r="J41" s="206"/>
      <c r="K41" s="206"/>
      <c r="L41" s="206"/>
      <c r="P41" s="213"/>
      <c r="Q41" s="213"/>
    </row>
    <row r="42" spans="2:17" ht="15.6" x14ac:dyDescent="0.6">
      <c r="B42" s="206" t="s">
        <v>239</v>
      </c>
      <c r="C42" s="206"/>
      <c r="D42" s="206"/>
      <c r="E42" s="206"/>
      <c r="F42" s="206"/>
      <c r="G42" s="206"/>
      <c r="H42" s="206" t="s">
        <v>239</v>
      </c>
      <c r="I42" s="206"/>
      <c r="J42" s="206"/>
      <c r="K42" s="206"/>
      <c r="L42" s="206"/>
      <c r="P42" s="240"/>
      <c r="Q42" s="240"/>
    </row>
    <row r="43" spans="2:17" ht="15.6" x14ac:dyDescent="0.6">
      <c r="B43" s="206" t="s">
        <v>240</v>
      </c>
      <c r="C43" s="205"/>
      <c r="D43" s="205"/>
      <c r="E43" s="206"/>
      <c r="F43" s="206"/>
      <c r="G43" s="214"/>
      <c r="H43" s="206" t="s">
        <v>240</v>
      </c>
      <c r="I43" s="206"/>
      <c r="J43" s="206"/>
      <c r="K43" s="206"/>
      <c r="L43" s="206"/>
    </row>
    <row r="44" spans="2:17" ht="15.6" x14ac:dyDescent="0.6">
      <c r="B44" s="215" t="s">
        <v>241</v>
      </c>
      <c r="C44" s="216"/>
      <c r="D44" s="205"/>
      <c r="E44" s="206"/>
      <c r="F44" s="206"/>
      <c r="G44" s="214"/>
      <c r="H44" s="241" t="s">
        <v>242</v>
      </c>
      <c r="I44" s="237"/>
      <c r="J44" s="237"/>
      <c r="K44" s="206"/>
      <c r="L44" s="206"/>
    </row>
    <row r="45" spans="2:17" ht="15.6" x14ac:dyDescent="0.6">
      <c r="B45" s="217" t="s">
        <v>243</v>
      </c>
      <c r="C45" s="207"/>
      <c r="D45" s="206"/>
      <c r="E45" s="206"/>
      <c r="F45" s="206"/>
      <c r="G45" s="206"/>
      <c r="H45" s="217" t="s">
        <v>244</v>
      </c>
      <c r="I45" s="216"/>
      <c r="J45" s="205"/>
      <c r="K45" s="206"/>
      <c r="L45" s="206"/>
    </row>
    <row r="46" spans="2:17" ht="12.75" customHeight="1" x14ac:dyDescent="0.6">
      <c r="B46" s="206"/>
      <c r="C46" s="218"/>
      <c r="D46" s="218"/>
      <c r="E46" s="218"/>
      <c r="F46" s="218"/>
      <c r="G46" s="218"/>
      <c r="H46" s="218"/>
      <c r="I46" s="218"/>
      <c r="J46" s="218"/>
      <c r="K46" s="218"/>
      <c r="L46" s="218"/>
    </row>
    <row r="47" spans="2:17" ht="16.5" customHeight="1" x14ac:dyDescent="0.6">
      <c r="B47" s="224" t="s">
        <v>249</v>
      </c>
      <c r="C47" s="224"/>
      <c r="D47" s="224"/>
      <c r="E47" s="224"/>
      <c r="F47" s="224"/>
      <c r="G47" s="224"/>
      <c r="H47" s="224"/>
      <c r="I47" s="224"/>
      <c r="J47" s="224"/>
      <c r="K47" s="224"/>
      <c r="L47" s="218"/>
    </row>
    <row r="48" spans="2:17" ht="15.6" x14ac:dyDescent="0.6">
      <c r="B48" s="218"/>
    </row>
  </sheetData>
  <sheetProtection algorithmName="SHA-512" hashValue="V4d0j+kbv9LkMXak7yk9AB9FqpzGtr4coHwcTT7RYpIBs/nUKAJrZWElcBeAmE2NTgmx75zxFxludYVDJfA+Iw==" saltValue="ExX704AYaOVMgIzAzBWkig==" spinCount="100000" sheet="1" objects="1" scenarios="1"/>
  <mergeCells count="12">
    <mergeCell ref="B47:K47"/>
    <mergeCell ref="B5:I6"/>
    <mergeCell ref="N5:X6"/>
    <mergeCell ref="C8:D8"/>
    <mergeCell ref="E8:F8"/>
    <mergeCell ref="N8:N9"/>
    <mergeCell ref="B29:L30"/>
    <mergeCell ref="B31:E31"/>
    <mergeCell ref="B32:L33"/>
    <mergeCell ref="B38:L39"/>
    <mergeCell ref="P42:Q42"/>
    <mergeCell ref="H44:J44"/>
  </mergeCells>
  <hyperlinks>
    <hyperlink ref="B44" r:id="rId1" xr:uid="{00000000-0004-0000-0000-000000000000}"/>
    <hyperlink ref="H44" r:id="rId2" xr:uid="{00000000-0004-0000-0000-000001000000}"/>
  </hyperlinks>
  <printOptions horizontalCentered="1"/>
  <pageMargins left="0.75" right="0.75" top="1" bottom="1" header="0.5" footer="0.5"/>
  <pageSetup scale="74" orientation="portrait" r:id="rId3"/>
  <headerFooter alignWithMargins="0">
    <oddHeader>&amp;R&amp;D</oddHeader>
    <oddFooter>&amp;A</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R30"/>
  <sheetViews>
    <sheetView workbookViewId="0">
      <selection activeCell="G28" sqref="G28"/>
    </sheetView>
  </sheetViews>
  <sheetFormatPr defaultRowHeight="14.4" x14ac:dyDescent="0.55000000000000004"/>
  <cols>
    <col min="1" max="1" width="31.68359375" bestFit="1" customWidth="1"/>
    <col min="2" max="2" width="23.68359375" bestFit="1" customWidth="1"/>
    <col min="3" max="3" width="19" hidden="1" customWidth="1"/>
    <col min="4" max="4" width="23.68359375" bestFit="1" customWidth="1"/>
    <col min="5" max="5" width="11.26171875" hidden="1" customWidth="1"/>
    <col min="6" max="6" width="9.15625" hidden="1" customWidth="1"/>
    <col min="7" max="7" width="19.68359375" bestFit="1" customWidth="1"/>
    <col min="8" max="8" width="29.83984375" hidden="1" customWidth="1"/>
    <col min="10" max="12" width="9.15625" style="161"/>
    <col min="13" max="13" width="11.578125" style="161" bestFit="1" customWidth="1"/>
    <col min="14" max="18" width="9.15625" style="161"/>
  </cols>
  <sheetData>
    <row r="1" spans="1:8" x14ac:dyDescent="0.55000000000000004">
      <c r="A1" s="36" t="s">
        <v>1</v>
      </c>
    </row>
    <row r="2" spans="1:8" x14ac:dyDescent="0.55000000000000004">
      <c r="A2" s="36" t="s">
        <v>41</v>
      </c>
    </row>
    <row r="3" spans="1:8" x14ac:dyDescent="0.55000000000000004">
      <c r="A3" s="36" t="s">
        <v>42</v>
      </c>
    </row>
    <row r="4" spans="1:8" x14ac:dyDescent="0.55000000000000004">
      <c r="B4" s="47" t="str">
        <f>A1</f>
        <v>Current Prices</v>
      </c>
      <c r="C4" s="48"/>
      <c r="D4" s="49" t="str">
        <f>A2</f>
        <v>One Year Out Prices</v>
      </c>
      <c r="E4" s="50"/>
      <c r="G4" s="51" t="str">
        <f>A3</f>
        <v>Five Years Out Prices</v>
      </c>
      <c r="H4" s="52"/>
    </row>
    <row r="5" spans="1:8" x14ac:dyDescent="0.55000000000000004">
      <c r="B5" s="53" t="s">
        <v>250</v>
      </c>
      <c r="C5" s="48">
        <v>0</v>
      </c>
      <c r="D5" s="180" t="s">
        <v>250</v>
      </c>
      <c r="E5" s="50">
        <v>0</v>
      </c>
      <c r="F5">
        <v>0</v>
      </c>
      <c r="G5" s="54" t="s">
        <v>251</v>
      </c>
      <c r="H5" s="52"/>
    </row>
    <row r="6" spans="1:8" x14ac:dyDescent="0.55000000000000004">
      <c r="A6" t="s">
        <v>252</v>
      </c>
      <c r="B6" s="157">
        <v>3.7</v>
      </c>
      <c r="C6" s="219">
        <v>0</v>
      </c>
      <c r="D6" s="159">
        <v>3.9000000000000004</v>
      </c>
      <c r="E6" s="220">
        <v>0</v>
      </c>
      <c r="F6" s="221">
        <v>0</v>
      </c>
      <c r="G6" s="162">
        <v>3.45</v>
      </c>
      <c r="H6" s="55"/>
    </row>
    <row r="7" spans="1:8" x14ac:dyDescent="0.55000000000000004">
      <c r="A7" t="s">
        <v>253</v>
      </c>
      <c r="B7" s="157">
        <v>8.4700000000000006</v>
      </c>
      <c r="C7" s="158">
        <v>0</v>
      </c>
      <c r="D7" s="159">
        <v>9.0500000000000007</v>
      </c>
      <c r="E7" s="160">
        <v>0</v>
      </c>
      <c r="F7" s="161">
        <v>0</v>
      </c>
      <c r="G7" s="162">
        <v>8.6</v>
      </c>
      <c r="H7" s="55"/>
    </row>
    <row r="8" spans="1:8" x14ac:dyDescent="0.55000000000000004">
      <c r="A8" t="s">
        <v>254</v>
      </c>
      <c r="B8" s="157">
        <v>210</v>
      </c>
      <c r="C8" s="163">
        <v>0</v>
      </c>
      <c r="D8" s="159">
        <v>221.35135135135138</v>
      </c>
      <c r="E8" s="160">
        <v>0</v>
      </c>
      <c r="F8" s="161">
        <v>0</v>
      </c>
      <c r="G8" s="162">
        <v>195.81081081081081</v>
      </c>
      <c r="H8" s="52"/>
    </row>
    <row r="9" spans="1:8" x14ac:dyDescent="0.55000000000000004">
      <c r="A9" t="s">
        <v>214</v>
      </c>
      <c r="B9" s="157">
        <f>(51/56*B6)+(8/60*B7)+(41/2000*B8)</f>
        <v>8.8039761904761917</v>
      </c>
      <c r="C9" s="164"/>
      <c r="D9" s="159">
        <f>(51/56*D6)+(8/60*D7)+(41/2000*D8)</f>
        <v>9.2961550836550852</v>
      </c>
      <c r="E9" s="159"/>
      <c r="F9" s="165"/>
      <c r="G9" s="162">
        <f>(51/56*G6)+(8/60*G7)+(41/2000*G8)</f>
        <v>8.3027525740025752</v>
      </c>
      <c r="H9" s="52"/>
    </row>
    <row r="10" spans="1:8" x14ac:dyDescent="0.55000000000000004">
      <c r="A10" t="s">
        <v>126</v>
      </c>
      <c r="B10" s="157">
        <f>B13/B9</f>
        <v>2.0445307450367389</v>
      </c>
      <c r="C10" s="157"/>
      <c r="D10" s="159">
        <f>D13/D9</f>
        <v>1.7211416823426187</v>
      </c>
      <c r="E10" s="159"/>
      <c r="F10" s="165"/>
      <c r="G10" s="162">
        <f>G13/G9</f>
        <v>2.1860220256148475</v>
      </c>
      <c r="H10" s="52"/>
    </row>
    <row r="11" spans="1:8" x14ac:dyDescent="0.55000000000000004">
      <c r="A11" t="s">
        <v>213</v>
      </c>
      <c r="B11" s="157">
        <f>ROUND(-280.44+(231.46*B9)+(-10.42*B9^2)+(-22.28*B13)+(0.72*B13^2)+69.94,0)</f>
        <v>852</v>
      </c>
      <c r="C11" s="157">
        <f t="shared" ref="C11:F11" si="0">ROUND(-280.44+(231.46*C9)+(-10.42*C9^2)+(-22.28*C13)+(0.72*C13^2)+136,0)</f>
        <v>-144</v>
      </c>
      <c r="D11" s="157">
        <f>ROUND(-280.44+(231.46*D9)+(-10.42*D9^2)+(-22.28*D13)+(0.72*D13^2)+69.94,0)</f>
        <v>869</v>
      </c>
      <c r="E11" s="157">
        <f t="shared" si="0"/>
        <v>-144</v>
      </c>
      <c r="F11" s="157">
        <f t="shared" si="0"/>
        <v>-144</v>
      </c>
      <c r="G11" s="157">
        <f>ROUND(-280.44+(231.46*G9)+(-10.42*G9^2)+(-22.28*G13)+(0.72*G13^2)+69.94,0)</f>
        <v>826</v>
      </c>
      <c r="H11" s="179"/>
    </row>
    <row r="12" spans="1:8" x14ac:dyDescent="0.55000000000000004">
      <c r="D12" s="3"/>
      <c r="E12" s="3"/>
      <c r="F12" s="3"/>
      <c r="G12" s="3"/>
    </row>
    <row r="13" spans="1:8" x14ac:dyDescent="0.55000000000000004">
      <c r="A13" s="57" t="s">
        <v>255</v>
      </c>
      <c r="B13" s="157">
        <v>18</v>
      </c>
      <c r="C13" s="166">
        <v>0</v>
      </c>
      <c r="D13" s="159">
        <v>16</v>
      </c>
      <c r="E13" s="160">
        <v>0</v>
      </c>
      <c r="F13" s="161">
        <v>0</v>
      </c>
      <c r="G13" s="162">
        <v>18.149999999999999</v>
      </c>
      <c r="H13" s="52"/>
    </row>
    <row r="14" spans="1:8" x14ac:dyDescent="0.55000000000000004">
      <c r="A14" t="s">
        <v>256</v>
      </c>
      <c r="B14" s="157">
        <v>1300</v>
      </c>
      <c r="C14" s="166">
        <v>0</v>
      </c>
      <c r="D14" s="159">
        <v>1257</v>
      </c>
      <c r="E14" s="167">
        <v>0</v>
      </c>
      <c r="F14" s="161">
        <v>0</v>
      </c>
      <c r="G14" s="162">
        <v>1278</v>
      </c>
      <c r="H14" s="52"/>
    </row>
    <row r="15" spans="1:8" x14ac:dyDescent="0.55000000000000004">
      <c r="A15" t="s">
        <v>257</v>
      </c>
      <c r="B15" s="157">
        <v>75</v>
      </c>
      <c r="C15" s="166">
        <v>0</v>
      </c>
      <c r="D15" s="159">
        <v>73</v>
      </c>
      <c r="E15" s="160">
        <v>0</v>
      </c>
      <c r="F15" s="161">
        <v>0</v>
      </c>
      <c r="G15" s="162">
        <v>74</v>
      </c>
      <c r="H15" s="52"/>
    </row>
    <row r="16" spans="1:8" x14ac:dyDescent="0.55000000000000004">
      <c r="A16" t="s">
        <v>258</v>
      </c>
      <c r="B16" s="157">
        <v>75</v>
      </c>
      <c r="C16" s="166">
        <v>0</v>
      </c>
      <c r="D16" s="159">
        <v>73</v>
      </c>
      <c r="E16" s="160">
        <v>0</v>
      </c>
      <c r="F16" s="161">
        <v>0</v>
      </c>
      <c r="G16" s="162">
        <v>74</v>
      </c>
      <c r="H16" s="52"/>
    </row>
    <row r="17" spans="1:13" x14ac:dyDescent="0.55000000000000004">
      <c r="A17" t="s">
        <v>259</v>
      </c>
      <c r="B17" s="157">
        <v>38</v>
      </c>
      <c r="C17" s="163">
        <v>0</v>
      </c>
      <c r="D17" s="159">
        <v>37</v>
      </c>
      <c r="E17" s="160">
        <v>0</v>
      </c>
      <c r="F17" s="161">
        <v>0</v>
      </c>
      <c r="G17" s="162">
        <v>38</v>
      </c>
      <c r="H17" s="56"/>
      <c r="M17" s="221"/>
    </row>
    <row r="18" spans="1:13" x14ac:dyDescent="0.55000000000000004">
      <c r="A18" t="s">
        <v>260</v>
      </c>
      <c r="B18" s="157">
        <v>107.88000000000001</v>
      </c>
      <c r="C18" s="168">
        <v>0</v>
      </c>
      <c r="D18" s="159">
        <v>106</v>
      </c>
      <c r="E18" s="160">
        <v>0</v>
      </c>
      <c r="F18" s="161">
        <v>0</v>
      </c>
      <c r="G18" s="162">
        <v>106</v>
      </c>
      <c r="H18" s="56"/>
    </row>
    <row r="19" spans="1:13" x14ac:dyDescent="0.55000000000000004">
      <c r="A19" t="s">
        <v>261</v>
      </c>
      <c r="B19" s="157">
        <v>115</v>
      </c>
      <c r="C19" s="168">
        <v>0</v>
      </c>
      <c r="D19" s="159">
        <v>111</v>
      </c>
      <c r="E19" s="160">
        <v>0</v>
      </c>
      <c r="F19" s="161">
        <v>0</v>
      </c>
      <c r="G19" s="162">
        <v>113</v>
      </c>
      <c r="H19" s="56"/>
    </row>
    <row r="26" spans="1:13" x14ac:dyDescent="0.55000000000000004">
      <c r="E26" s="15"/>
      <c r="H26" s="15"/>
    </row>
    <row r="29" spans="1:13" x14ac:dyDescent="0.55000000000000004">
      <c r="E29" s="15"/>
    </row>
    <row r="30" spans="1:13" x14ac:dyDescent="0.55000000000000004">
      <c r="C30" s="15"/>
    </row>
  </sheetData>
  <sheetProtection algorithmName="SHA-512" hashValue="Sd80HlgauNEPoQtkojk8La1Sw0fZ2Tgi+kqh2Wy7sBqvuZrIw54dV0v+tCtcczfmSjJMXmH6QQ/Bc7fPFcpslw==" saltValue="ZNxUi73TH/WebiAPgpo+WQ==" spinCount="100000" sheet="1" objects="1" scenarios="1"/>
  <pageMargins left="0.25" right="0.25"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U129"/>
  <sheetViews>
    <sheetView zoomScaleNormal="100" workbookViewId="0">
      <selection activeCell="P20" sqref="P20"/>
    </sheetView>
  </sheetViews>
  <sheetFormatPr defaultRowHeight="14.4" x14ac:dyDescent="0.55000000000000004"/>
  <cols>
    <col min="1" max="1" width="31.83984375" bestFit="1" customWidth="1"/>
    <col min="2" max="2" width="11.578125" customWidth="1"/>
    <col min="3" max="3" width="13.578125" customWidth="1"/>
    <col min="4" max="4" width="5.15625" customWidth="1"/>
    <col min="5" max="5" width="10" customWidth="1"/>
    <col min="6" max="6" width="4.83984375" customWidth="1"/>
    <col min="7" max="7" width="2.578125" customWidth="1"/>
    <col min="8" max="9" width="4.68359375" customWidth="1"/>
    <col min="10" max="10" width="14.26171875" customWidth="1"/>
    <col min="11" max="11" width="11.68359375" customWidth="1"/>
    <col min="12" max="12" width="61.83984375" hidden="1" customWidth="1"/>
  </cols>
  <sheetData>
    <row r="1" spans="1:21" ht="18.75" customHeight="1" x14ac:dyDescent="0.55000000000000004">
      <c r="A1" s="265" t="s">
        <v>197</v>
      </c>
      <c r="B1" s="265"/>
      <c r="C1" s="265"/>
      <c r="D1" s="264" t="s">
        <v>1</v>
      </c>
      <c r="E1" s="264"/>
      <c r="F1" s="264"/>
      <c r="G1" s="264"/>
      <c r="H1" s="264"/>
      <c r="I1" s="263" t="str">
        <f>IF(D1=Prices!A1,Prices!B5,IF(D1=Prices!A2,Prices!D5,Prices!G5))</f>
        <v>(as of Dec. 2nd, 2019)</v>
      </c>
      <c r="J1" s="263"/>
      <c r="K1" s="263"/>
      <c r="L1" s="150" t="s">
        <v>208</v>
      </c>
      <c r="M1" s="260" t="s">
        <v>123</v>
      </c>
      <c r="N1" s="260"/>
      <c r="O1" s="260"/>
      <c r="P1" s="260"/>
      <c r="Q1" s="260"/>
      <c r="R1" s="260"/>
      <c r="S1" s="260"/>
      <c r="T1" s="260"/>
      <c r="U1" s="260"/>
    </row>
    <row r="2" spans="1:21" x14ac:dyDescent="0.55000000000000004">
      <c r="A2" s="1"/>
      <c r="B2" s="2"/>
      <c r="C2" s="3"/>
      <c r="D2" s="4"/>
      <c r="E2" s="3"/>
      <c r="F2" s="3"/>
      <c r="G2" s="4"/>
      <c r="H2" s="3"/>
      <c r="I2" s="4"/>
      <c r="J2" s="3"/>
      <c r="K2" s="3"/>
      <c r="L2" s="150"/>
      <c r="N2" s="161"/>
      <c r="O2" s="161"/>
      <c r="P2" s="161"/>
      <c r="Q2" s="161"/>
      <c r="R2" s="161"/>
      <c r="S2" s="161"/>
      <c r="T2" s="161"/>
      <c r="U2" s="161"/>
    </row>
    <row r="3" spans="1:21" x14ac:dyDescent="0.55000000000000004">
      <c r="A3" s="5" t="s">
        <v>2</v>
      </c>
      <c r="D3" s="6"/>
      <c r="G3" s="6"/>
      <c r="I3" s="6"/>
      <c r="L3" s="150"/>
      <c r="N3" s="161"/>
      <c r="O3" s="161"/>
      <c r="P3" s="161"/>
      <c r="Q3" s="161"/>
      <c r="R3" s="161"/>
      <c r="S3" s="161"/>
      <c r="T3" s="161"/>
      <c r="U3" s="161"/>
    </row>
    <row r="4" spans="1:21" x14ac:dyDescent="0.55000000000000004">
      <c r="A4" t="s">
        <v>3</v>
      </c>
      <c r="B4" s="169">
        <v>23500</v>
      </c>
      <c r="C4" s="242"/>
      <c r="D4" s="242"/>
      <c r="E4" s="7"/>
      <c r="I4" s="262"/>
      <c r="J4" s="262"/>
      <c r="K4" s="105"/>
      <c r="L4" s="150"/>
      <c r="N4" s="161"/>
      <c r="O4" s="161"/>
      <c r="P4" s="161"/>
      <c r="Q4" s="161"/>
      <c r="R4" s="161"/>
      <c r="S4" s="161"/>
      <c r="T4" s="161"/>
      <c r="U4" s="161"/>
    </row>
    <row r="5" spans="1:21" x14ac:dyDescent="0.55000000000000004">
      <c r="A5" t="s">
        <v>44</v>
      </c>
      <c r="B5" s="170">
        <v>0.37</v>
      </c>
      <c r="C5" s="261" t="s">
        <v>45</v>
      </c>
      <c r="D5" s="261"/>
      <c r="E5" s="170">
        <v>0.3</v>
      </c>
      <c r="F5" s="9"/>
      <c r="G5" s="246" t="s">
        <v>12</v>
      </c>
      <c r="H5" s="246"/>
      <c r="I5" s="246"/>
      <c r="J5" s="171">
        <v>0.92</v>
      </c>
      <c r="K5" s="59"/>
      <c r="L5" s="150"/>
      <c r="N5" s="161"/>
      <c r="O5" s="161"/>
      <c r="P5" s="161"/>
      <c r="Q5" s="161"/>
      <c r="R5" s="161"/>
      <c r="S5" s="161"/>
      <c r="T5" s="161"/>
      <c r="U5" s="161"/>
    </row>
    <row r="6" spans="1:21" ht="27" customHeight="1" x14ac:dyDescent="0.55000000000000004">
      <c r="D6" s="6"/>
      <c r="G6" s="6"/>
      <c r="I6" s="6"/>
      <c r="L6" s="150"/>
      <c r="N6" s="161"/>
      <c r="O6" s="161"/>
      <c r="P6" s="161"/>
      <c r="Q6" s="161"/>
      <c r="R6" s="161"/>
      <c r="S6" s="161"/>
      <c r="T6" s="161"/>
      <c r="U6" s="161"/>
    </row>
    <row r="7" spans="1:21" ht="43.2" x14ac:dyDescent="0.55000000000000004">
      <c r="A7" s="10" t="s">
        <v>4</v>
      </c>
      <c r="B7" s="10" t="s">
        <v>0</v>
      </c>
      <c r="C7" s="10" t="s">
        <v>5</v>
      </c>
      <c r="D7" s="10"/>
      <c r="E7" s="10" t="s">
        <v>6</v>
      </c>
      <c r="F7" s="10" t="s">
        <v>5</v>
      </c>
      <c r="G7" s="10"/>
      <c r="H7" s="10"/>
      <c r="I7" s="10"/>
      <c r="J7" s="10" t="s">
        <v>109</v>
      </c>
      <c r="K7" s="10" t="s">
        <v>119</v>
      </c>
      <c r="L7" s="150"/>
      <c r="N7" s="161"/>
      <c r="O7" s="161"/>
      <c r="P7" s="161"/>
      <c r="Q7" s="161"/>
      <c r="R7" s="161"/>
      <c r="S7" s="161"/>
      <c r="T7" s="161"/>
      <c r="U7" s="161"/>
    </row>
    <row r="8" spans="1:21" x14ac:dyDescent="0.55000000000000004">
      <c r="A8" t="s">
        <v>7</v>
      </c>
      <c r="B8" s="172">
        <f>IF(D1=Prices!A1,Prices!B13,IF(D1=Prices!A2,Prices!D13,IF(D1=Prices!A3,Prices!G13,"")))</f>
        <v>18</v>
      </c>
      <c r="C8" s="11" t="s">
        <v>8</v>
      </c>
      <c r="D8" s="6" t="s">
        <v>9</v>
      </c>
      <c r="E8" s="12">
        <f>B4</f>
        <v>23500</v>
      </c>
      <c r="F8" s="11" t="s">
        <v>10</v>
      </c>
      <c r="G8" s="6"/>
      <c r="H8" s="13"/>
      <c r="I8" s="14" t="s">
        <v>11</v>
      </c>
      <c r="J8" s="15">
        <f>B8*(E8/100)</f>
        <v>4230</v>
      </c>
      <c r="K8" s="15">
        <f>B8</f>
        <v>18</v>
      </c>
      <c r="L8" s="150"/>
      <c r="N8" s="161"/>
      <c r="O8" s="161"/>
      <c r="P8" s="161"/>
      <c r="Q8" s="161"/>
      <c r="R8" s="161"/>
      <c r="S8" s="161"/>
      <c r="T8" s="161"/>
      <c r="U8" s="161"/>
    </row>
    <row r="9" spans="1:21" x14ac:dyDescent="0.55000000000000004">
      <c r="A9" t="s">
        <v>124</v>
      </c>
      <c r="B9" s="172">
        <v>0</v>
      </c>
      <c r="C9" s="11" t="s">
        <v>8</v>
      </c>
      <c r="D9" s="115" t="s">
        <v>9</v>
      </c>
      <c r="E9" s="12">
        <f>B4</f>
        <v>23500</v>
      </c>
      <c r="F9" s="11" t="s">
        <v>10</v>
      </c>
      <c r="G9" s="115"/>
      <c r="H9" s="13"/>
      <c r="I9" s="14" t="s">
        <v>11</v>
      </c>
      <c r="J9" s="15">
        <f>B9*E9</f>
        <v>0</v>
      </c>
      <c r="K9" s="118">
        <f>B9</f>
        <v>0</v>
      </c>
      <c r="L9" s="150"/>
      <c r="N9" s="161"/>
      <c r="O9" s="161"/>
      <c r="P9" s="161"/>
      <c r="Q9" s="161"/>
      <c r="R9" s="161"/>
      <c r="S9" s="161"/>
      <c r="T9" s="161"/>
      <c r="U9" s="161"/>
    </row>
    <row r="10" spans="1:21" x14ac:dyDescent="0.55000000000000004">
      <c r="A10" t="s">
        <v>12</v>
      </c>
      <c r="B10" s="173">
        <f>0.5*(IF(D1=Prices!A1,Prices!B15,IF(D1=Prices!A2,Prices!D15,IF(D1=Prices!A3,Prices!G15,""))))+0.5*(IF(D1=Prices!A1,Prices!B16,IF(D1=Prices!A2,Prices!D16,IF(D1=Prices!A3,Prices!G16,""))))</f>
        <v>75</v>
      </c>
      <c r="C10" s="11" t="s">
        <v>43</v>
      </c>
      <c r="D10" s="6" t="s">
        <v>9</v>
      </c>
      <c r="E10" s="25">
        <f>J5</f>
        <v>0.92</v>
      </c>
      <c r="F10" s="11" t="s">
        <v>46</v>
      </c>
      <c r="G10" s="6"/>
      <c r="H10" s="13"/>
      <c r="I10" s="14" t="s">
        <v>11</v>
      </c>
      <c r="J10" s="15">
        <f>B10*E10</f>
        <v>69</v>
      </c>
      <c r="K10" s="15">
        <f>J10/B4*100</f>
        <v>0.29361702127659572</v>
      </c>
      <c r="L10" s="150"/>
      <c r="N10" s="161"/>
      <c r="O10" s="161"/>
      <c r="P10" s="161"/>
      <c r="Q10" s="161"/>
      <c r="R10" s="161"/>
      <c r="S10" s="161"/>
      <c r="T10" s="161"/>
      <c r="U10" s="161"/>
    </row>
    <row r="11" spans="1:21" x14ac:dyDescent="0.55000000000000004">
      <c r="A11" t="s">
        <v>13</v>
      </c>
      <c r="B11" s="173">
        <f>IF(D1=Prices!A1,Prices!B17,IF(D1=Prices!A2,Prices!D17,IF(D1=Prices!A3,Prices!G17,"")))</f>
        <v>38</v>
      </c>
      <c r="C11" s="11" t="s">
        <v>8</v>
      </c>
      <c r="D11" s="6" t="s">
        <v>9</v>
      </c>
      <c r="E11" s="174">
        <v>1350</v>
      </c>
      <c r="F11" s="11" t="s">
        <v>10</v>
      </c>
      <c r="G11" s="6" t="s">
        <v>9</v>
      </c>
      <c r="H11" s="13">
        <f>E5</f>
        <v>0.3</v>
      </c>
      <c r="I11" s="14" t="s">
        <v>11</v>
      </c>
      <c r="J11" s="24">
        <f>B11*(E11/100)*H11</f>
        <v>153.9</v>
      </c>
      <c r="K11" s="24">
        <f>J11/B4*100</f>
        <v>0.65489361702127669</v>
      </c>
      <c r="L11" s="150"/>
      <c r="N11" s="161"/>
      <c r="O11" s="161"/>
      <c r="P11" s="161"/>
      <c r="Q11" s="161"/>
      <c r="R11" s="161"/>
      <c r="S11" s="161"/>
      <c r="T11" s="161"/>
      <c r="U11" s="161"/>
    </row>
    <row r="12" spans="1:21" x14ac:dyDescent="0.55000000000000004">
      <c r="A12" t="s">
        <v>14</v>
      </c>
      <c r="B12" s="16"/>
      <c r="C12" s="11"/>
      <c r="D12" s="6"/>
      <c r="E12" s="18"/>
      <c r="F12" s="11"/>
      <c r="G12" s="6"/>
      <c r="H12" s="13"/>
      <c r="I12" s="14"/>
      <c r="J12" s="173">
        <v>120</v>
      </c>
      <c r="K12" s="24">
        <f>J12/B4*100</f>
        <v>0.51063829787234039</v>
      </c>
      <c r="L12" s="150"/>
      <c r="N12" s="161"/>
      <c r="O12" s="161"/>
      <c r="P12" s="161"/>
      <c r="Q12" s="161"/>
      <c r="R12" s="161"/>
      <c r="S12" s="161"/>
      <c r="T12" s="161"/>
      <c r="U12" s="161"/>
    </row>
    <row r="13" spans="1:21" x14ac:dyDescent="0.55000000000000004">
      <c r="A13" t="s">
        <v>15</v>
      </c>
      <c r="B13" s="16"/>
      <c r="C13" s="11"/>
      <c r="D13" s="6"/>
      <c r="E13" s="18"/>
      <c r="F13" s="11"/>
      <c r="G13" s="6"/>
      <c r="H13" s="13"/>
      <c r="I13" s="14"/>
      <c r="J13" s="173">
        <v>80</v>
      </c>
      <c r="K13" s="24">
        <f>J13/B4*100</f>
        <v>0.34042553191489361</v>
      </c>
      <c r="L13" s="150"/>
      <c r="N13" s="161"/>
      <c r="O13" s="161"/>
      <c r="P13" s="161"/>
      <c r="Q13" s="161"/>
      <c r="R13" s="161"/>
      <c r="S13" s="161"/>
      <c r="T13" s="161"/>
      <c r="U13" s="161"/>
    </row>
    <row r="14" spans="1:21" x14ac:dyDescent="0.55000000000000004">
      <c r="A14" s="19" t="s">
        <v>16</v>
      </c>
      <c r="B14" s="20"/>
      <c r="C14" s="20"/>
      <c r="D14" s="21"/>
      <c r="E14" s="20"/>
      <c r="F14" s="20"/>
      <c r="G14" s="21"/>
      <c r="H14" s="20"/>
      <c r="I14" s="21"/>
      <c r="J14" s="22">
        <f>SUM(J8:J13)</f>
        <v>4652.8999999999996</v>
      </c>
      <c r="K14" s="22">
        <f>SUM(K8:K13)</f>
        <v>19.799574468085105</v>
      </c>
      <c r="L14" s="150"/>
      <c r="M14" s="15"/>
      <c r="N14" s="161"/>
      <c r="O14" s="161"/>
      <c r="P14" s="161"/>
      <c r="Q14" s="161"/>
      <c r="R14" s="161"/>
      <c r="S14" s="161"/>
      <c r="T14" s="161"/>
      <c r="U14" s="161"/>
    </row>
    <row r="15" spans="1:21" x14ac:dyDescent="0.55000000000000004">
      <c r="A15" s="23"/>
      <c r="D15" s="6"/>
      <c r="G15" s="6"/>
      <c r="I15" s="6"/>
      <c r="L15" s="150"/>
      <c r="N15" s="161"/>
      <c r="O15" s="161"/>
      <c r="P15" s="161"/>
      <c r="Q15" s="161"/>
      <c r="R15" s="161"/>
      <c r="S15" s="161"/>
      <c r="T15" s="161"/>
      <c r="U15" s="161"/>
    </row>
    <row r="16" spans="1:21" x14ac:dyDescent="0.55000000000000004">
      <c r="A16" s="10" t="s">
        <v>17</v>
      </c>
      <c r="B16" s="20"/>
      <c r="C16" s="20"/>
      <c r="D16" s="21"/>
      <c r="E16" s="20"/>
      <c r="F16" s="20"/>
      <c r="G16" s="21"/>
      <c r="H16" s="20"/>
      <c r="I16" s="21"/>
      <c r="J16" s="20"/>
      <c r="K16" s="20"/>
      <c r="L16" s="150"/>
      <c r="N16" s="161"/>
      <c r="O16" s="161"/>
      <c r="P16" s="161"/>
      <c r="Q16" s="161"/>
      <c r="R16" s="161"/>
      <c r="S16" s="161"/>
      <c r="T16" s="161"/>
      <c r="U16" s="161"/>
    </row>
    <row r="17" spans="1:21" x14ac:dyDescent="0.55000000000000004">
      <c r="A17" t="s">
        <v>138</v>
      </c>
      <c r="B17" s="175">
        <f>IF(D1="Current Prices", (26.56+(0.1645*Prices!B9)+(0.01277*Prices!B9^2)+(-0.00273*B4)+(0.0000000746*B4^2)),IF(D1="One Year Out Prices", (26.56+(0.1645*Prices!D9)+(0.01277*Prices!D9^2)+(-0.00273*B4)+(0.0000000746*B4^2)), IF(D1="Five Years Out Prices", (26.56+(0.1645*Prices!G9)+(0.01277*Prices!G9^2)+(-0.00273*B4)+(0.0000000746*B4^2)),"")))</f>
        <v>6.0409067419900992</v>
      </c>
      <c r="C17" s="11" t="s">
        <v>125</v>
      </c>
      <c r="D17" s="6" t="s">
        <v>9</v>
      </c>
      <c r="E17" s="12">
        <v>365</v>
      </c>
      <c r="F17" s="11" t="s">
        <v>49</v>
      </c>
      <c r="G17" s="6"/>
      <c r="H17" s="13"/>
      <c r="I17" s="14"/>
      <c r="J17" s="173">
        <f>B17*E17</f>
        <v>2204.9309608263861</v>
      </c>
      <c r="K17" s="24">
        <f>J17/$B$4*100</f>
        <v>9.3826849396867509</v>
      </c>
      <c r="L17" s="150" t="s">
        <v>199</v>
      </c>
      <c r="M17" s="3"/>
      <c r="N17" s="161"/>
      <c r="O17" s="161"/>
      <c r="P17" s="161"/>
      <c r="Q17" s="161"/>
      <c r="R17" s="161"/>
      <c r="S17" s="161"/>
      <c r="T17" s="161"/>
      <c r="U17" s="161"/>
    </row>
    <row r="18" spans="1:21" x14ac:dyDescent="0.55000000000000004">
      <c r="A18" s="26" t="s">
        <v>40</v>
      </c>
      <c r="B18" s="173">
        <f>IF(D1=Prices!A1,Prices!B14,IF(D1=Prices!A2,Prices!D14,IF(D1=Prices!A3,Prices!G14,"")))</f>
        <v>1300</v>
      </c>
      <c r="C18" s="11" t="s">
        <v>43</v>
      </c>
      <c r="D18" s="8" t="s">
        <v>9</v>
      </c>
      <c r="E18" s="25">
        <f>B5</f>
        <v>0.37</v>
      </c>
      <c r="F18" s="11" t="s">
        <v>46</v>
      </c>
      <c r="G18" s="8"/>
      <c r="H18" s="13"/>
      <c r="I18" s="14" t="s">
        <v>11</v>
      </c>
      <c r="J18" s="24">
        <f>B18*E18</f>
        <v>481</v>
      </c>
      <c r="K18" s="24">
        <f t="shared" ref="K18:K30" si="0">J18/$B$4*100</f>
        <v>2.0468085106382978</v>
      </c>
      <c r="L18" s="150"/>
      <c r="M18" s="3"/>
      <c r="N18" s="161"/>
      <c r="O18" s="161"/>
      <c r="P18" s="161"/>
      <c r="Q18" s="161"/>
      <c r="R18" s="161"/>
      <c r="S18" s="161"/>
      <c r="T18" s="161"/>
      <c r="U18" s="161"/>
    </row>
    <row r="19" spans="1:21" x14ac:dyDescent="0.55000000000000004">
      <c r="A19" s="26" t="s">
        <v>180</v>
      </c>
      <c r="B19" s="24"/>
      <c r="C19" s="11"/>
      <c r="D19" s="46"/>
      <c r="E19" s="25"/>
      <c r="F19" s="11"/>
      <c r="G19" s="46"/>
      <c r="H19" s="13"/>
      <c r="I19" s="14"/>
      <c r="J19" s="173">
        <v>44.5</v>
      </c>
      <c r="K19" s="24">
        <f t="shared" si="0"/>
        <v>0.18936170212765957</v>
      </c>
      <c r="L19" s="150" t="s">
        <v>179</v>
      </c>
      <c r="M19" s="3"/>
      <c r="N19" s="161"/>
      <c r="O19" s="161"/>
      <c r="P19" s="161"/>
      <c r="Q19" s="161"/>
      <c r="R19" s="161"/>
      <c r="S19" s="161"/>
      <c r="T19" s="161"/>
      <c r="U19" s="161"/>
    </row>
    <row r="20" spans="1:21" x14ac:dyDescent="0.55000000000000004">
      <c r="A20" s="26" t="s">
        <v>206</v>
      </c>
      <c r="B20" s="173">
        <v>15</v>
      </c>
      <c r="C20" s="11" t="s">
        <v>18</v>
      </c>
      <c r="D20" s="125" t="s">
        <v>9</v>
      </c>
      <c r="E20" s="176">
        <v>35</v>
      </c>
      <c r="F20" s="11" t="s">
        <v>19</v>
      </c>
      <c r="G20" s="125"/>
      <c r="H20" s="13"/>
      <c r="I20" s="14" t="s">
        <v>11</v>
      </c>
      <c r="J20" s="24">
        <f>B20*E20</f>
        <v>525</v>
      </c>
      <c r="K20" s="24">
        <f t="shared" ref="K20" si="1">J20/$B$4*100</f>
        <v>2.2340425531914896</v>
      </c>
      <c r="L20" s="155" t="s">
        <v>182</v>
      </c>
      <c r="M20" s="3"/>
      <c r="N20" s="161"/>
      <c r="O20" s="161"/>
      <c r="P20" s="161"/>
      <c r="Q20" s="161"/>
      <c r="R20" s="161"/>
      <c r="S20" s="161"/>
      <c r="T20" s="161"/>
      <c r="U20" s="161"/>
    </row>
    <row r="21" spans="1:21" x14ac:dyDescent="0.55000000000000004">
      <c r="A21" s="26" t="s">
        <v>156</v>
      </c>
      <c r="B21" s="173">
        <v>25</v>
      </c>
      <c r="C21" s="11" t="s">
        <v>18</v>
      </c>
      <c r="D21" s="153" t="s">
        <v>9</v>
      </c>
      <c r="E21" s="176">
        <v>8</v>
      </c>
      <c r="F21" s="11" t="s">
        <v>19</v>
      </c>
      <c r="G21" s="153"/>
      <c r="H21" s="13"/>
      <c r="I21" s="14" t="s">
        <v>11</v>
      </c>
      <c r="J21" s="24">
        <f>B21*E21</f>
        <v>200</v>
      </c>
      <c r="K21" s="24">
        <f t="shared" ref="K21" si="2">J21/$B$4*100</f>
        <v>0.85106382978723405</v>
      </c>
      <c r="L21" s="150" t="s">
        <v>186</v>
      </c>
      <c r="M21" s="3"/>
      <c r="N21" s="161"/>
      <c r="O21" s="161"/>
      <c r="P21" s="161"/>
      <c r="Q21" s="161"/>
      <c r="R21" s="161"/>
      <c r="S21" s="161"/>
      <c r="T21" s="161"/>
      <c r="U21" s="161"/>
    </row>
    <row r="22" spans="1:21" x14ac:dyDescent="0.55000000000000004">
      <c r="A22" s="26" t="s">
        <v>203</v>
      </c>
      <c r="B22" s="16"/>
      <c r="C22" s="11"/>
      <c r="D22" s="97"/>
      <c r="E22" s="27"/>
      <c r="F22" s="11"/>
      <c r="G22" s="97"/>
      <c r="H22" s="13"/>
      <c r="I22" s="14"/>
      <c r="J22" s="173">
        <v>105</v>
      </c>
      <c r="K22" s="24">
        <f t="shared" si="0"/>
        <v>0.44680851063829791</v>
      </c>
      <c r="L22" s="150" t="s">
        <v>187</v>
      </c>
      <c r="M22" s="154"/>
      <c r="N22" s="161"/>
      <c r="O22" s="161"/>
      <c r="P22" s="161"/>
      <c r="Q22" s="161"/>
      <c r="R22" s="221"/>
      <c r="S22" s="161"/>
      <c r="T22" s="161"/>
      <c r="U22" s="161"/>
    </row>
    <row r="23" spans="1:21" x14ac:dyDescent="0.55000000000000004">
      <c r="A23" t="s">
        <v>132</v>
      </c>
      <c r="B23" s="16"/>
      <c r="C23" s="11"/>
      <c r="D23" s="6"/>
      <c r="E23" s="18"/>
      <c r="F23" s="11"/>
      <c r="G23" s="6"/>
      <c r="H23" s="13"/>
      <c r="I23" s="14"/>
      <c r="J23" s="173">
        <v>130</v>
      </c>
      <c r="K23" s="24">
        <f t="shared" si="0"/>
        <v>0.55319148936170215</v>
      </c>
      <c r="L23" s="150" t="s">
        <v>179</v>
      </c>
      <c r="M23" s="3"/>
      <c r="N23" s="161"/>
      <c r="O23" s="161"/>
      <c r="P23" s="161"/>
      <c r="Q23" s="161"/>
      <c r="R23" s="161"/>
      <c r="S23" s="161"/>
      <c r="T23" s="161"/>
      <c r="U23" s="161"/>
    </row>
    <row r="24" spans="1:21" x14ac:dyDescent="0.55000000000000004">
      <c r="A24" t="s">
        <v>181</v>
      </c>
      <c r="B24" s="16"/>
      <c r="C24" s="11"/>
      <c r="D24" s="6"/>
      <c r="E24" s="18"/>
      <c r="F24" s="11"/>
      <c r="G24" s="6"/>
      <c r="H24" s="13"/>
      <c r="I24" s="14"/>
      <c r="J24" s="173">
        <v>70</v>
      </c>
      <c r="K24" s="24">
        <f t="shared" si="0"/>
        <v>0.2978723404255319</v>
      </c>
      <c r="L24" s="150" t="s">
        <v>179</v>
      </c>
      <c r="M24" s="3"/>
      <c r="N24" s="161"/>
      <c r="O24" s="161"/>
      <c r="P24" s="161"/>
      <c r="Q24" s="161"/>
      <c r="R24" s="161"/>
      <c r="S24" s="161"/>
      <c r="T24" s="161"/>
      <c r="U24" s="161"/>
    </row>
    <row r="25" spans="1:21" x14ac:dyDescent="0.55000000000000004">
      <c r="A25" s="26" t="s">
        <v>183</v>
      </c>
      <c r="B25" s="16"/>
      <c r="C25" s="11"/>
      <c r="D25" s="137"/>
      <c r="E25" s="18"/>
      <c r="F25" s="11"/>
      <c r="G25" s="137"/>
      <c r="H25" s="13"/>
      <c r="I25" s="14"/>
      <c r="J25" s="173">
        <v>65</v>
      </c>
      <c r="K25" s="24">
        <f t="shared" si="0"/>
        <v>0.27659574468085107</v>
      </c>
      <c r="L25" s="150" t="s">
        <v>184</v>
      </c>
      <c r="M25" s="3"/>
      <c r="N25" s="161"/>
      <c r="O25" s="161"/>
      <c r="P25" s="161"/>
      <c r="Q25" s="161"/>
      <c r="R25" s="161"/>
      <c r="S25" s="161"/>
      <c r="T25" s="161"/>
      <c r="U25" s="161"/>
    </row>
    <row r="26" spans="1:21" x14ac:dyDescent="0.55000000000000004">
      <c r="A26" t="s">
        <v>21</v>
      </c>
      <c r="B26" s="16"/>
      <c r="C26" s="11"/>
      <c r="D26" s="6"/>
      <c r="E26" s="18"/>
      <c r="F26" s="11"/>
      <c r="G26" s="6"/>
      <c r="H26" s="13"/>
      <c r="I26" s="14"/>
      <c r="J26" s="173">
        <v>137</v>
      </c>
      <c r="K26" s="24">
        <f t="shared" si="0"/>
        <v>0.58297872340425527</v>
      </c>
      <c r="L26" s="150" t="s">
        <v>179</v>
      </c>
      <c r="M26" s="3"/>
      <c r="N26" s="161"/>
      <c r="O26" s="161"/>
      <c r="P26" s="161"/>
      <c r="Q26" s="161"/>
      <c r="R26" s="161"/>
      <c r="S26" s="161"/>
      <c r="T26" s="161"/>
      <c r="U26" s="161"/>
    </row>
    <row r="27" spans="1:21" x14ac:dyDescent="0.55000000000000004">
      <c r="A27" t="s">
        <v>131</v>
      </c>
      <c r="B27" s="16"/>
      <c r="C27" s="11"/>
      <c r="D27" s="125"/>
      <c r="E27" s="18"/>
      <c r="F27" s="11"/>
      <c r="G27" s="125"/>
      <c r="H27" s="13"/>
      <c r="I27" s="14"/>
      <c r="J27" s="173">
        <v>85</v>
      </c>
      <c r="K27" s="24">
        <f t="shared" si="0"/>
        <v>0.36170212765957449</v>
      </c>
      <c r="L27" s="150" t="s">
        <v>179</v>
      </c>
      <c r="M27" s="3"/>
      <c r="N27" s="161"/>
      <c r="O27" s="161"/>
      <c r="P27" s="161"/>
      <c r="Q27" s="161"/>
      <c r="R27" s="161"/>
      <c r="S27" s="161"/>
      <c r="T27" s="161"/>
      <c r="U27" s="161"/>
    </row>
    <row r="28" spans="1:21" x14ac:dyDescent="0.55000000000000004">
      <c r="A28" t="s">
        <v>200</v>
      </c>
      <c r="B28" s="16"/>
      <c r="C28" s="11"/>
      <c r="D28" s="153"/>
      <c r="E28" s="18"/>
      <c r="F28" s="11"/>
      <c r="G28" s="153"/>
      <c r="H28" s="13"/>
      <c r="I28" s="14"/>
      <c r="J28" s="173">
        <v>75</v>
      </c>
      <c r="K28" s="24">
        <f t="shared" si="0"/>
        <v>0.31914893617021273</v>
      </c>
      <c r="L28" s="150" t="s">
        <v>201</v>
      </c>
      <c r="M28" s="3"/>
      <c r="N28" s="161"/>
      <c r="O28" s="161"/>
      <c r="P28" s="161"/>
      <c r="Q28" s="161"/>
      <c r="R28" s="161"/>
      <c r="S28" s="161"/>
      <c r="T28" s="161"/>
      <c r="U28" s="161"/>
    </row>
    <row r="29" spans="1:21" x14ac:dyDescent="0.55000000000000004">
      <c r="A29" t="s">
        <v>207</v>
      </c>
      <c r="D29" s="137"/>
      <c r="G29" s="137"/>
      <c r="I29" s="137"/>
      <c r="J29" s="173">
        <v>95</v>
      </c>
      <c r="K29" s="24">
        <f>J29/$B$4*100</f>
        <v>0.40425531914893614</v>
      </c>
      <c r="L29" s="150" t="s">
        <v>185</v>
      </c>
      <c r="M29" s="3"/>
      <c r="N29" s="161"/>
      <c r="O29" s="161"/>
      <c r="P29" s="161"/>
      <c r="Q29" s="161"/>
      <c r="R29" s="161"/>
      <c r="S29" s="161"/>
      <c r="T29" s="161"/>
      <c r="U29" s="161"/>
    </row>
    <row r="30" spans="1:21" x14ac:dyDescent="0.55000000000000004">
      <c r="A30" t="s">
        <v>22</v>
      </c>
      <c r="B30" s="16"/>
      <c r="C30" s="11"/>
      <c r="D30" s="137"/>
      <c r="E30" s="18"/>
      <c r="F30" s="11"/>
      <c r="G30" s="137"/>
      <c r="H30" s="13"/>
      <c r="I30" s="14"/>
      <c r="J30" s="173">
        <v>280</v>
      </c>
      <c r="K30" s="24">
        <f t="shared" si="0"/>
        <v>1.1914893617021276</v>
      </c>
      <c r="L30" s="150" t="s">
        <v>202</v>
      </c>
      <c r="M30" s="3"/>
      <c r="N30" s="161"/>
      <c r="O30" s="161"/>
      <c r="P30" s="221"/>
      <c r="Q30" s="161"/>
      <c r="R30" s="161"/>
      <c r="S30" s="161"/>
      <c r="T30" s="161"/>
      <c r="U30" s="161"/>
    </row>
    <row r="31" spans="1:21" x14ac:dyDescent="0.55000000000000004">
      <c r="A31" s="23" t="s">
        <v>23</v>
      </c>
      <c r="D31" s="6"/>
      <c r="G31" s="6"/>
      <c r="I31" s="6"/>
      <c r="J31" s="28">
        <f>SUM(J17:J30)</f>
        <v>4497.4309608263866</v>
      </c>
      <c r="K31" s="28">
        <f>SUM(K17:K30)</f>
        <v>19.138004088622921</v>
      </c>
      <c r="L31" s="150"/>
      <c r="M31" s="3"/>
      <c r="N31" s="161"/>
      <c r="O31" s="161"/>
      <c r="P31" s="161"/>
      <c r="Q31" s="161"/>
      <c r="R31" s="161"/>
      <c r="S31" s="161"/>
      <c r="T31" s="161"/>
      <c r="U31" s="161"/>
    </row>
    <row r="32" spans="1:21" x14ac:dyDescent="0.55000000000000004">
      <c r="D32" s="6"/>
      <c r="G32" s="6"/>
      <c r="I32" s="6"/>
      <c r="L32" s="150"/>
      <c r="M32" s="3"/>
      <c r="N32" s="161"/>
      <c r="O32" s="161"/>
      <c r="P32" s="161"/>
      <c r="Q32" s="161"/>
      <c r="R32" s="161"/>
      <c r="S32" s="161"/>
      <c r="T32" s="161"/>
      <c r="U32" s="161"/>
    </row>
    <row r="33" spans="1:21" x14ac:dyDescent="0.55000000000000004">
      <c r="A33" s="10" t="s">
        <v>24</v>
      </c>
      <c r="B33" s="20"/>
      <c r="C33" s="20"/>
      <c r="D33" s="21"/>
      <c r="E33" s="20"/>
      <c r="F33" s="20"/>
      <c r="G33" s="21"/>
      <c r="H33" s="20"/>
      <c r="I33" s="21"/>
      <c r="J33" s="20"/>
      <c r="K33" s="20"/>
      <c r="L33" s="150"/>
      <c r="M33" s="3"/>
      <c r="N33" s="161"/>
      <c r="O33" s="161"/>
      <c r="P33" s="161"/>
      <c r="Q33" s="161"/>
      <c r="R33" s="161"/>
      <c r="S33" s="161"/>
      <c r="T33" s="161"/>
      <c r="U33" s="161"/>
    </row>
    <row r="34" spans="1:21" x14ac:dyDescent="0.55000000000000004">
      <c r="A34" t="s">
        <v>25</v>
      </c>
      <c r="D34" s="6"/>
      <c r="G34" s="6"/>
      <c r="I34" s="6"/>
      <c r="J34" s="173">
        <v>185</v>
      </c>
      <c r="K34" s="24">
        <f>J34/$B$4*100</f>
        <v>0.78723404255319152</v>
      </c>
      <c r="L34" s="150" t="s">
        <v>205</v>
      </c>
      <c r="M34" s="3"/>
      <c r="N34" s="161"/>
      <c r="O34" s="161"/>
      <c r="P34" s="161"/>
      <c r="Q34" s="161"/>
      <c r="R34" s="161"/>
      <c r="S34" s="161"/>
      <c r="T34" s="161"/>
      <c r="U34" s="161"/>
    </row>
    <row r="35" spans="1:21" x14ac:dyDescent="0.55000000000000004">
      <c r="A35" t="s">
        <v>27</v>
      </c>
      <c r="D35" s="6"/>
      <c r="G35" s="6"/>
      <c r="I35" s="6"/>
      <c r="J35" s="173">
        <v>54</v>
      </c>
      <c r="K35" s="24">
        <f t="shared" ref="K35:K37" si="3">J35/$B$4*100</f>
        <v>0.22978723404255319</v>
      </c>
      <c r="L35" s="150" t="s">
        <v>179</v>
      </c>
      <c r="M35" s="3"/>
      <c r="N35" s="161"/>
      <c r="O35" s="161"/>
      <c r="P35" s="161"/>
      <c r="Q35" s="161"/>
      <c r="R35" s="161"/>
      <c r="S35" s="161"/>
      <c r="T35" s="161"/>
      <c r="U35" s="161"/>
    </row>
    <row r="36" spans="1:21" x14ac:dyDescent="0.55000000000000004">
      <c r="A36" s="29" t="s">
        <v>28</v>
      </c>
      <c r="B36" s="29"/>
      <c r="C36" s="29"/>
      <c r="D36" s="30"/>
      <c r="E36" s="29"/>
      <c r="F36" s="29"/>
      <c r="G36" s="30"/>
      <c r="H36" s="29"/>
      <c r="I36" s="30"/>
      <c r="J36" s="177">
        <v>260</v>
      </c>
      <c r="K36" s="24">
        <f t="shared" si="3"/>
        <v>1.1063829787234043</v>
      </c>
      <c r="L36" s="150" t="s">
        <v>220</v>
      </c>
      <c r="M36" s="154"/>
      <c r="N36" s="161"/>
      <c r="O36" s="161"/>
      <c r="P36" s="161"/>
      <c r="Q36" s="161"/>
      <c r="R36" s="161"/>
      <c r="S36" s="161"/>
      <c r="T36" s="161"/>
      <c r="U36" s="161"/>
    </row>
    <row r="37" spans="1:21" x14ac:dyDescent="0.55000000000000004">
      <c r="A37" s="31" t="s">
        <v>29</v>
      </c>
      <c r="B37" s="29"/>
      <c r="C37" s="29"/>
      <c r="D37" s="30"/>
      <c r="E37" s="29"/>
      <c r="F37" s="29"/>
      <c r="G37" s="30"/>
      <c r="H37" s="29"/>
      <c r="I37" s="30"/>
      <c r="J37" s="177">
        <v>115</v>
      </c>
      <c r="K37" s="24">
        <f t="shared" si="3"/>
        <v>0.48936170212765956</v>
      </c>
      <c r="L37" s="150" t="s">
        <v>204</v>
      </c>
      <c r="M37" s="3"/>
      <c r="N37" s="161"/>
      <c r="O37" s="161"/>
      <c r="P37" s="161"/>
      <c r="Q37" s="161"/>
      <c r="R37" s="161"/>
      <c r="S37" s="161"/>
      <c r="T37" s="161"/>
      <c r="U37" s="161"/>
    </row>
    <row r="38" spans="1:21" x14ac:dyDescent="0.55000000000000004">
      <c r="A38" s="32" t="s">
        <v>30</v>
      </c>
      <c r="B38" s="33"/>
      <c r="C38" s="33"/>
      <c r="D38" s="34"/>
      <c r="E38" s="33"/>
      <c r="F38" s="33"/>
      <c r="G38" s="34"/>
      <c r="H38" s="33"/>
      <c r="I38" s="34"/>
      <c r="J38" s="35">
        <f>SUM(J34:J37)</f>
        <v>614</v>
      </c>
      <c r="K38" s="35">
        <f>SUM(K34:K37)</f>
        <v>2.6127659574468085</v>
      </c>
      <c r="L38" s="150"/>
      <c r="M38" s="3"/>
      <c r="N38" s="161"/>
      <c r="O38" s="161"/>
      <c r="P38" s="161"/>
      <c r="Q38" s="161"/>
      <c r="R38" s="161"/>
      <c r="S38" s="161"/>
      <c r="T38" s="161"/>
      <c r="U38" s="161"/>
    </row>
    <row r="39" spans="1:21" x14ac:dyDescent="0.55000000000000004">
      <c r="B39" s="16"/>
      <c r="C39" s="11"/>
      <c r="D39" s="6"/>
      <c r="E39" s="18"/>
      <c r="F39" s="11"/>
      <c r="G39" s="6"/>
      <c r="H39" s="13"/>
      <c r="I39" s="14"/>
      <c r="J39" s="16"/>
      <c r="K39" s="16"/>
      <c r="L39" s="150"/>
      <c r="M39" s="3"/>
      <c r="N39" s="161"/>
      <c r="O39" s="161"/>
      <c r="P39" s="161"/>
      <c r="Q39" s="161"/>
      <c r="R39" s="161"/>
      <c r="S39" s="161"/>
      <c r="T39" s="161"/>
      <c r="U39" s="161"/>
    </row>
    <row r="40" spans="1:21" x14ac:dyDescent="0.55000000000000004">
      <c r="A40" s="10" t="s">
        <v>31</v>
      </c>
      <c r="B40" s="20"/>
      <c r="C40" s="20"/>
      <c r="D40" s="21"/>
      <c r="E40" s="20"/>
      <c r="F40" s="20"/>
      <c r="G40" s="21"/>
      <c r="H40" s="20"/>
      <c r="I40" s="21"/>
      <c r="J40" s="22">
        <f>J31+J38</f>
        <v>5111.4309608263866</v>
      </c>
      <c r="K40" s="22">
        <f>K31+K38</f>
        <v>21.750770046069729</v>
      </c>
      <c r="L40" s="150" t="s">
        <v>178</v>
      </c>
      <c r="M40" s="3"/>
      <c r="N40" s="161"/>
      <c r="O40" s="161"/>
      <c r="P40" s="161"/>
      <c r="Q40" s="161"/>
      <c r="R40" s="161"/>
      <c r="S40" s="161"/>
      <c r="T40" s="161"/>
      <c r="U40" s="161"/>
    </row>
    <row r="41" spans="1:21" x14ac:dyDescent="0.55000000000000004">
      <c r="D41" s="6"/>
      <c r="G41" s="6"/>
      <c r="I41" s="6"/>
      <c r="L41" s="150"/>
      <c r="N41" s="161"/>
      <c r="O41" s="161"/>
      <c r="P41" s="161"/>
      <c r="Q41" s="161"/>
      <c r="R41" s="161"/>
      <c r="S41" s="161"/>
      <c r="T41" s="161"/>
      <c r="U41" s="161"/>
    </row>
    <row r="42" spans="1:21" x14ac:dyDescent="0.55000000000000004">
      <c r="A42" t="s">
        <v>32</v>
      </c>
      <c r="D42" s="6"/>
      <c r="G42" s="6"/>
      <c r="I42" s="6"/>
      <c r="J42" s="15">
        <f>J14-J31</f>
        <v>155.46903917361306</v>
      </c>
      <c r="K42" s="15">
        <f>K14-K31</f>
        <v>0.66157037946218367</v>
      </c>
      <c r="L42" s="150"/>
      <c r="N42" s="161"/>
      <c r="O42" s="161"/>
      <c r="P42" s="161"/>
      <c r="Q42" s="161"/>
      <c r="R42" s="161"/>
      <c r="S42" s="161"/>
      <c r="T42" s="161"/>
      <c r="U42" s="161"/>
    </row>
    <row r="43" spans="1:21" ht="14.7" thickBot="1" x14ac:dyDescent="0.6">
      <c r="A43" s="36" t="s">
        <v>33</v>
      </c>
      <c r="D43" s="6"/>
      <c r="G43" s="6"/>
      <c r="I43" s="6"/>
      <c r="J43" s="37">
        <f>J14-J40</f>
        <v>-458.53096082638694</v>
      </c>
      <c r="K43" s="37">
        <f>K14-K40</f>
        <v>-1.951195577984624</v>
      </c>
      <c r="L43" s="150"/>
      <c r="N43" s="161"/>
      <c r="O43" s="161"/>
      <c r="P43" s="161"/>
      <c r="Q43" s="161"/>
      <c r="R43" s="161"/>
      <c r="S43" s="161"/>
      <c r="T43" s="161"/>
      <c r="U43" s="161"/>
    </row>
    <row r="44" spans="1:21" ht="14.7" thickTop="1" x14ac:dyDescent="0.55000000000000004">
      <c r="N44" s="161"/>
      <c r="O44" s="161"/>
      <c r="P44" s="161"/>
      <c r="Q44" s="161"/>
      <c r="R44" s="161"/>
      <c r="S44" s="161"/>
      <c r="T44" s="161"/>
      <c r="U44" s="161"/>
    </row>
    <row r="45" spans="1:21" x14ac:dyDescent="0.55000000000000004">
      <c r="A45" s="38"/>
      <c r="B45" s="29"/>
      <c r="C45" s="29"/>
      <c r="D45" s="30"/>
      <c r="E45" s="29"/>
      <c r="F45" s="29"/>
      <c r="G45" s="30"/>
      <c r="H45" s="29"/>
      <c r="I45" s="30"/>
      <c r="J45" s="39"/>
      <c r="K45" s="39"/>
      <c r="N45" s="161"/>
      <c r="O45" s="161"/>
      <c r="P45" s="161"/>
      <c r="Q45" s="161"/>
      <c r="R45" s="161"/>
      <c r="S45" s="161"/>
      <c r="T45" s="161"/>
      <c r="U45" s="161"/>
    </row>
    <row r="46" spans="1:21" x14ac:dyDescent="0.55000000000000004">
      <c r="A46" s="248" t="s">
        <v>34</v>
      </c>
      <c r="B46" s="249"/>
      <c r="C46" s="249"/>
      <c r="D46" s="249"/>
      <c r="E46" s="249"/>
      <c r="F46" s="249"/>
      <c r="G46" s="249"/>
      <c r="H46" s="249"/>
      <c r="I46" s="249"/>
      <c r="J46" s="249"/>
      <c r="K46" s="109"/>
      <c r="N46" s="161"/>
      <c r="O46" s="161"/>
      <c r="P46" s="161"/>
      <c r="Q46" s="161"/>
      <c r="R46" s="161"/>
      <c r="S46" s="161"/>
      <c r="T46" s="161"/>
      <c r="U46" s="161"/>
    </row>
    <row r="47" spans="1:21" ht="15.6" x14ac:dyDescent="0.6">
      <c r="A47" s="40" t="s">
        <v>223</v>
      </c>
      <c r="B47" s="40"/>
      <c r="C47" s="40"/>
      <c r="D47" s="40"/>
      <c r="E47" s="40"/>
      <c r="F47" s="40"/>
      <c r="G47" s="40"/>
      <c r="H47" s="40"/>
      <c r="I47" s="40"/>
      <c r="J47" s="259" t="str">
        <f>Introduction!L8</f>
        <v>Version- 12.2.2019</v>
      </c>
      <c r="K47" s="259"/>
      <c r="N47" s="161"/>
      <c r="O47" s="161"/>
      <c r="P47" s="161"/>
      <c r="Q47" s="161"/>
      <c r="R47" s="161"/>
      <c r="S47" s="161"/>
      <c r="T47" s="161"/>
      <c r="U47" s="161"/>
    </row>
    <row r="48" spans="1:21" ht="23.25" customHeight="1" x14ac:dyDescent="0.55000000000000004">
      <c r="B48" s="41"/>
    </row>
    <row r="49" spans="1:11" ht="19.5" customHeight="1" thickBot="1" x14ac:dyDescent="0.75">
      <c r="A49" s="250" t="s">
        <v>197</v>
      </c>
      <c r="B49" s="250"/>
      <c r="C49" s="250"/>
      <c r="D49" s="250"/>
      <c r="E49" s="250"/>
      <c r="F49" s="250"/>
      <c r="G49" s="247"/>
      <c r="H49" s="247"/>
      <c r="I49" s="247"/>
      <c r="J49" s="247"/>
      <c r="K49" s="107"/>
    </row>
    <row r="92" spans="1:11" ht="107.25" customHeight="1" x14ac:dyDescent="0.55000000000000004"/>
    <row r="93" spans="1:11" x14ac:dyDescent="0.55000000000000004">
      <c r="A93" s="248" t="s">
        <v>34</v>
      </c>
      <c r="B93" s="249"/>
      <c r="C93" s="249"/>
      <c r="D93" s="249"/>
      <c r="E93" s="249"/>
      <c r="F93" s="249"/>
      <c r="G93" s="249"/>
      <c r="H93" s="249"/>
      <c r="I93" s="249"/>
      <c r="J93" s="249"/>
      <c r="K93" s="109"/>
    </row>
    <row r="94" spans="1:11" ht="15.6" x14ac:dyDescent="0.6">
      <c r="A94" s="40" t="s">
        <v>223</v>
      </c>
      <c r="B94" s="40"/>
      <c r="C94" s="40"/>
      <c r="D94" s="40"/>
      <c r="E94" s="40"/>
      <c r="F94" s="40"/>
      <c r="G94" s="40"/>
      <c r="H94" s="40"/>
      <c r="I94" s="40"/>
      <c r="J94" s="259" t="str">
        <f>J47</f>
        <v>Version- 12.2.2019</v>
      </c>
      <c r="K94" s="259"/>
    </row>
    <row r="95" spans="1:11" ht="15.6" x14ac:dyDescent="0.6">
      <c r="A95" s="42"/>
      <c r="B95" s="42"/>
      <c r="C95" s="42"/>
      <c r="D95" s="42"/>
      <c r="E95" s="42"/>
      <c r="F95" s="42"/>
      <c r="G95" s="42"/>
      <c r="H95" s="42"/>
      <c r="I95" s="42"/>
      <c r="J95" s="42"/>
      <c r="K95" s="42"/>
    </row>
    <row r="96" spans="1:11" ht="19.5" customHeight="1" thickBot="1" x14ac:dyDescent="0.75">
      <c r="A96" s="250" t="s">
        <v>197</v>
      </c>
      <c r="B96" s="250"/>
      <c r="C96" s="250"/>
      <c r="D96" s="250"/>
      <c r="E96" s="250"/>
      <c r="F96" s="250"/>
      <c r="G96" s="247"/>
      <c r="H96" s="247"/>
      <c r="I96" s="247"/>
      <c r="J96" s="247"/>
      <c r="K96" s="107"/>
    </row>
    <row r="97" spans="1:6" ht="15.6" x14ac:dyDescent="0.6">
      <c r="A97" s="43" t="s">
        <v>36</v>
      </c>
    </row>
    <row r="99" spans="1:6" ht="15.75" customHeight="1" x14ac:dyDescent="0.55000000000000004">
      <c r="A99" s="110"/>
      <c r="B99" s="29"/>
      <c r="C99" s="29"/>
      <c r="D99" s="29"/>
      <c r="E99" s="29"/>
      <c r="F99" s="29"/>
    </row>
    <row r="100" spans="1:6" ht="47.25" customHeight="1" x14ac:dyDescent="0.75">
      <c r="A100" s="120" t="s">
        <v>110</v>
      </c>
      <c r="B100" s="121"/>
      <c r="C100" s="121"/>
      <c r="D100" s="121"/>
      <c r="E100" s="121"/>
      <c r="F100" s="122"/>
    </row>
    <row r="101" spans="1:6" ht="15" customHeight="1" x14ac:dyDescent="0.55000000000000004">
      <c r="A101" s="114"/>
      <c r="B101" s="119" t="s">
        <v>37</v>
      </c>
      <c r="C101" s="243" t="s">
        <v>38</v>
      </c>
      <c r="D101" s="243"/>
      <c r="E101" s="244" t="s">
        <v>39</v>
      </c>
      <c r="F101" s="245"/>
    </row>
    <row r="102" spans="1:6" x14ac:dyDescent="0.55000000000000004">
      <c r="A102" s="123" t="str">
        <f>Prices!A6</f>
        <v>Corn ($/bu)</v>
      </c>
      <c r="B102" s="124">
        <f>Prices!B6</f>
        <v>3.7</v>
      </c>
      <c r="C102" s="254">
        <f>Prices!D6</f>
        <v>3.9000000000000004</v>
      </c>
      <c r="D102" s="266"/>
      <c r="E102" s="254">
        <f>Prices!G6</f>
        <v>3.45</v>
      </c>
      <c r="F102" s="255"/>
    </row>
    <row r="103" spans="1:6" x14ac:dyDescent="0.55000000000000004">
      <c r="A103" s="112" t="str">
        <f>Prices!A7</f>
        <v>Soybeans ($/bu)</v>
      </c>
      <c r="B103" s="44">
        <f>Prices!B7</f>
        <v>8.4700000000000006</v>
      </c>
      <c r="C103" s="251">
        <f>Prices!D7</f>
        <v>9.0500000000000007</v>
      </c>
      <c r="D103" s="253"/>
      <c r="E103" s="251">
        <f>Prices!G7</f>
        <v>8.6</v>
      </c>
      <c r="F103" s="252"/>
    </row>
    <row r="104" spans="1:6" x14ac:dyDescent="0.55000000000000004">
      <c r="A104" s="112" t="str">
        <f>Prices!A8</f>
        <v>Dairy Alfalfa ($/ton)</v>
      </c>
      <c r="B104" s="44">
        <f>Prices!B8</f>
        <v>210</v>
      </c>
      <c r="C104" s="251">
        <f>Prices!D8</f>
        <v>221.35135135135138</v>
      </c>
      <c r="D104" s="253"/>
      <c r="E104" s="251">
        <f>Prices!G8</f>
        <v>195.81081081081081</v>
      </c>
      <c r="F104" s="252"/>
    </row>
    <row r="105" spans="1:6" x14ac:dyDescent="0.55000000000000004">
      <c r="A105" s="112" t="str">
        <f>Prices!A9</f>
        <v>16% 100 pounds of feed ($)</v>
      </c>
      <c r="B105" s="44">
        <f>Prices!B9</f>
        <v>8.8039761904761917</v>
      </c>
      <c r="C105" s="251">
        <f>Prices!D9</f>
        <v>9.2961550836550852</v>
      </c>
      <c r="D105" s="253"/>
      <c r="E105" s="251">
        <f>Prices!G9</f>
        <v>8.3027525740025752</v>
      </c>
      <c r="F105" s="252"/>
    </row>
    <row r="106" spans="1:6" x14ac:dyDescent="0.55000000000000004">
      <c r="A106" s="112" t="str">
        <f>Prices!A10</f>
        <v>Milk:Feed Ratio</v>
      </c>
      <c r="B106" s="44">
        <f>Prices!B10</f>
        <v>2.0445307450367389</v>
      </c>
      <c r="C106" s="251">
        <f>Prices!D10</f>
        <v>1.7211416823426187</v>
      </c>
      <c r="D106" s="253"/>
      <c r="E106" s="251">
        <f>Prices!G10</f>
        <v>2.1860220256148475</v>
      </c>
      <c r="F106" s="252"/>
    </row>
    <row r="107" spans="1:6" x14ac:dyDescent="0.55000000000000004">
      <c r="A107" s="112"/>
      <c r="B107" s="44"/>
      <c r="C107" s="251"/>
      <c r="D107" s="253"/>
      <c r="E107" s="251"/>
      <c r="F107" s="252"/>
    </row>
    <row r="108" spans="1:6" x14ac:dyDescent="0.55000000000000004">
      <c r="A108" s="112" t="str">
        <f>Prices!A13</f>
        <v>Milk ($/cwt)</v>
      </c>
      <c r="B108" s="44">
        <f>Prices!B13</f>
        <v>18</v>
      </c>
      <c r="C108" s="251">
        <f>Prices!D13</f>
        <v>16</v>
      </c>
      <c r="D108" s="253"/>
      <c r="E108" s="251">
        <f>Prices!G13</f>
        <v>18.149999999999999</v>
      </c>
      <c r="F108" s="252"/>
    </row>
    <row r="109" spans="1:6" x14ac:dyDescent="0.55000000000000004">
      <c r="A109" s="112" t="str">
        <f>Prices!A14</f>
        <v>Replacement Heifers (per hd)</v>
      </c>
      <c r="B109" s="44">
        <f>Prices!B14</f>
        <v>1300</v>
      </c>
      <c r="C109" s="251">
        <f>Prices!D14</f>
        <v>1257</v>
      </c>
      <c r="D109" s="253"/>
      <c r="E109" s="251">
        <f>Prices!G14</f>
        <v>1278</v>
      </c>
      <c r="F109" s="252"/>
    </row>
    <row r="110" spans="1:6" x14ac:dyDescent="0.55000000000000004">
      <c r="A110" s="112" t="str">
        <f>Prices!A15</f>
        <v>Dairy Bull Calves (per hd)</v>
      </c>
      <c r="B110" s="44">
        <f>Prices!B15</f>
        <v>75</v>
      </c>
      <c r="C110" s="251">
        <f>Prices!D15</f>
        <v>73</v>
      </c>
      <c r="D110" s="253"/>
      <c r="E110" s="251">
        <f>Prices!G15</f>
        <v>74</v>
      </c>
      <c r="F110" s="252"/>
    </row>
    <row r="111" spans="1:6" x14ac:dyDescent="0.55000000000000004">
      <c r="A111" s="112" t="str">
        <f>Prices!A16</f>
        <v>Dairy Heifer Calves (per hd)</v>
      </c>
      <c r="B111" s="44">
        <f>Prices!B16</f>
        <v>75</v>
      </c>
      <c r="C111" s="251">
        <f>Prices!D16</f>
        <v>73</v>
      </c>
      <c r="D111" s="253"/>
      <c r="E111" s="251">
        <f>Prices!G16</f>
        <v>74</v>
      </c>
      <c r="F111" s="252"/>
    </row>
    <row r="112" spans="1:6" ht="18" customHeight="1" x14ac:dyDescent="0.55000000000000004">
      <c r="A112" s="113" t="str">
        <f>Prices!A17</f>
        <v>Dairy Cull cow (per cwt)</v>
      </c>
      <c r="B112" s="98">
        <f>Prices!B17</f>
        <v>38</v>
      </c>
      <c r="C112" s="256">
        <f>Prices!D17</f>
        <v>37</v>
      </c>
      <c r="D112" s="257"/>
      <c r="E112" s="256">
        <f>Prices!G17</f>
        <v>38</v>
      </c>
      <c r="F112" s="258"/>
    </row>
    <row r="123" spans="1:11" ht="226.5" customHeight="1" x14ac:dyDescent="0.55000000000000004">
      <c r="G123" s="102"/>
    </row>
    <row r="124" spans="1:11" ht="45.75" customHeight="1" x14ac:dyDescent="0.55000000000000004">
      <c r="B124" s="44"/>
      <c r="C124" s="100"/>
      <c r="D124" s="100"/>
      <c r="E124" s="100"/>
      <c r="F124" s="100"/>
      <c r="G124" s="102"/>
    </row>
    <row r="125" spans="1:11" ht="15" customHeight="1" x14ac:dyDescent="0.55000000000000004">
      <c r="B125" s="44"/>
      <c r="C125" s="100"/>
      <c r="D125" s="100"/>
      <c r="E125" s="100"/>
      <c r="F125" s="100"/>
      <c r="G125" s="102"/>
    </row>
    <row r="126" spans="1:11" ht="15" customHeight="1" x14ac:dyDescent="0.55000000000000004">
      <c r="B126" s="44"/>
      <c r="C126" s="100"/>
      <c r="D126" s="100"/>
      <c r="E126" s="100"/>
      <c r="F126" s="100"/>
      <c r="G126" s="102"/>
    </row>
    <row r="127" spans="1:11" x14ac:dyDescent="0.55000000000000004">
      <c r="B127" s="44"/>
      <c r="C127" s="45"/>
      <c r="D127" s="30"/>
      <c r="E127" s="45"/>
      <c r="F127" s="30"/>
    </row>
    <row r="128" spans="1:11" ht="15.6" x14ac:dyDescent="0.55000000000000004">
      <c r="A128" s="248" t="s">
        <v>34</v>
      </c>
      <c r="B128" s="248"/>
      <c r="C128" s="248"/>
      <c r="D128" s="248"/>
      <c r="E128" s="248"/>
      <c r="F128" s="248"/>
      <c r="G128" s="248"/>
      <c r="H128" s="248"/>
      <c r="I128" s="248"/>
      <c r="J128" s="248"/>
      <c r="K128" s="106"/>
    </row>
    <row r="129" spans="1:11" ht="15.6" x14ac:dyDescent="0.6">
      <c r="A129" s="40" t="s">
        <v>224</v>
      </c>
      <c r="B129" s="40"/>
      <c r="C129" s="40"/>
      <c r="D129" s="40"/>
      <c r="E129" s="40"/>
      <c r="F129" s="40"/>
      <c r="G129" s="40"/>
      <c r="H129" s="40"/>
      <c r="I129" s="40"/>
      <c r="J129" s="259" t="str">
        <f>J94</f>
        <v>Version- 12.2.2019</v>
      </c>
      <c r="K129" s="259"/>
    </row>
  </sheetData>
  <sheetProtection algorithmName="SHA-512" hashValue="LKG0efCZExrd/KHvxQPLu/RNS9Xnt3xD48TTd4n02+EBAAl3M11LUX6gp1B0GZML6+bNX2nPKJG2dbPF8aOqyw==" saltValue="mQBtag1iPiPL7ZUgEgknuw==" spinCount="100000" sheet="1" objects="1" scenarios="1"/>
  <mergeCells count="42">
    <mergeCell ref="J129:K129"/>
    <mergeCell ref="M1:U1"/>
    <mergeCell ref="C5:D5"/>
    <mergeCell ref="I4:J4"/>
    <mergeCell ref="A93:J93"/>
    <mergeCell ref="G96:J96"/>
    <mergeCell ref="J94:K94"/>
    <mergeCell ref="I1:K1"/>
    <mergeCell ref="D1:H1"/>
    <mergeCell ref="A1:C1"/>
    <mergeCell ref="C102:D102"/>
    <mergeCell ref="C103:D103"/>
    <mergeCell ref="C106:D106"/>
    <mergeCell ref="J47:K47"/>
    <mergeCell ref="A128:J128"/>
    <mergeCell ref="C107:D107"/>
    <mergeCell ref="E107:F107"/>
    <mergeCell ref="C108:D108"/>
    <mergeCell ref="E108:F108"/>
    <mergeCell ref="C109:D109"/>
    <mergeCell ref="E109:F109"/>
    <mergeCell ref="C110:D110"/>
    <mergeCell ref="E110:F110"/>
    <mergeCell ref="C111:D111"/>
    <mergeCell ref="C112:D112"/>
    <mergeCell ref="E111:F111"/>
    <mergeCell ref="E112:F112"/>
    <mergeCell ref="E106:F106"/>
    <mergeCell ref="E105:F105"/>
    <mergeCell ref="E104:F104"/>
    <mergeCell ref="A96:F96"/>
    <mergeCell ref="C104:D104"/>
    <mergeCell ref="C105:D105"/>
    <mergeCell ref="E103:F103"/>
    <mergeCell ref="E102:F102"/>
    <mergeCell ref="C4:D4"/>
    <mergeCell ref="C101:D101"/>
    <mergeCell ref="E101:F101"/>
    <mergeCell ref="G5:I5"/>
    <mergeCell ref="G49:J49"/>
    <mergeCell ref="A46:J46"/>
    <mergeCell ref="A49:F49"/>
  </mergeCells>
  <dataValidations count="1">
    <dataValidation type="list" showInputMessage="1" showErrorMessage="1" prompt="Select a price horizon to budget from" sqref="D1" xr:uid="{00000000-0002-0000-0200-000000000000}">
      <formula1>Prices</formula1>
    </dataValidation>
  </dataValidations>
  <pageMargins left="0.25" right="0.25" top="0.75" bottom="0.5" header="0.3" footer="0"/>
  <pageSetup scale="88" orientation="portrait" horizontalDpi="4294967295" verticalDpi="4294967295" r:id="rId1"/>
  <headerFooter>
    <oddHeader>&amp;L&amp;"-,Bold"&amp;20FARM MANAGEMENT GUIDE</oddHeader>
  </headerFooter>
  <rowBreaks count="2" manualBreakCount="2">
    <brk id="47" max="10" man="1"/>
    <brk id="9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117" r:id="rId4" name="Button 21">
              <controlPr defaultSize="0" print="0" autoFill="0" autoPict="0" macro="[0]!PrintPRBudget">
                <anchor moveWithCells="1" sizeWithCells="1">
                  <from>
                    <xdr:col>12</xdr:col>
                    <xdr:colOff>601980</xdr:colOff>
                    <xdr:row>4</xdr:row>
                    <xdr:rowOff>11430</xdr:rowOff>
                  </from>
                  <to>
                    <xdr:col>17</xdr:col>
                    <xdr:colOff>0</xdr:colOff>
                    <xdr:row>5</xdr:row>
                    <xdr:rowOff>171450</xdr:rowOff>
                  </to>
                </anchor>
              </controlPr>
            </control>
          </mc:Choice>
        </mc:AlternateContent>
        <mc:AlternateContent xmlns:mc="http://schemas.openxmlformats.org/markup-compatibility/2006">
          <mc:Choice Requires="x14">
            <control shapeId="4119" r:id="rId5" name="Button 23">
              <controlPr defaultSize="0" print="0" autoFill="0" autoPict="0" macro="[0]!PrintPRSheets">
                <anchor moveWithCells="1" sizeWithCells="1">
                  <from>
                    <xdr:col>12</xdr:col>
                    <xdr:colOff>590550</xdr:colOff>
                    <xdr:row>5</xdr:row>
                    <xdr:rowOff>285750</xdr:rowOff>
                  </from>
                  <to>
                    <xdr:col>17</xdr:col>
                    <xdr:colOff>0</xdr:colOff>
                    <xdr:row>6</xdr:row>
                    <xdr:rowOff>316230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V140"/>
  <sheetViews>
    <sheetView zoomScaleNormal="100" workbookViewId="0">
      <selection activeCell="P20" sqref="P20"/>
    </sheetView>
  </sheetViews>
  <sheetFormatPr defaultRowHeight="14.4" x14ac:dyDescent="0.55000000000000004"/>
  <cols>
    <col min="1" max="1" width="31.83984375" bestFit="1" customWidth="1"/>
    <col min="2" max="2" width="11.578125" customWidth="1"/>
    <col min="3" max="3" width="13.578125" customWidth="1"/>
    <col min="4" max="4" width="5.15625" customWidth="1"/>
    <col min="5" max="5" width="10" customWidth="1"/>
    <col min="6" max="6" width="4.83984375" customWidth="1"/>
    <col min="7" max="7" width="2.578125" customWidth="1"/>
    <col min="8" max="8" width="4.68359375" customWidth="1"/>
    <col min="9" max="9" width="5.15625" customWidth="1"/>
    <col min="10" max="10" width="13.26171875" customWidth="1"/>
    <col min="11" max="11" width="11.68359375" customWidth="1"/>
    <col min="12" max="12" width="37.26171875" hidden="1" customWidth="1"/>
    <col min="13" max="13" width="10.68359375" customWidth="1"/>
    <col min="16" max="16" width="10.578125" bestFit="1" customWidth="1"/>
  </cols>
  <sheetData>
    <row r="1" spans="1:21" ht="18.75" customHeight="1" x14ac:dyDescent="0.55000000000000004">
      <c r="A1" s="265" t="s">
        <v>196</v>
      </c>
      <c r="B1" s="265"/>
      <c r="C1" s="265"/>
      <c r="D1" s="264" t="s">
        <v>1</v>
      </c>
      <c r="E1" s="264"/>
      <c r="F1" s="264"/>
      <c r="G1" s="264"/>
      <c r="H1" s="264"/>
      <c r="I1" s="263" t="str">
        <f>IF(D1=Prices!A1,Prices!B5,IF(D1=Prices!A2,Prices!D5,Prices!G5))</f>
        <v>(as of Dec. 2nd, 2019)</v>
      </c>
      <c r="J1" s="263"/>
      <c r="K1" s="263"/>
      <c r="M1" s="260" t="s">
        <v>123</v>
      </c>
      <c r="N1" s="260"/>
      <c r="O1" s="260"/>
      <c r="P1" s="260"/>
      <c r="Q1" s="260"/>
      <c r="R1" s="260"/>
      <c r="S1" s="260"/>
      <c r="T1" s="260"/>
      <c r="U1" s="260"/>
    </row>
    <row r="2" spans="1:21" x14ac:dyDescent="0.55000000000000004">
      <c r="A2" s="1"/>
      <c r="B2" s="2"/>
      <c r="C2" s="3"/>
      <c r="D2" s="4"/>
      <c r="E2" s="3"/>
      <c r="F2" s="3"/>
      <c r="G2" s="4"/>
      <c r="H2" s="3"/>
      <c r="I2" s="4"/>
      <c r="J2" s="3"/>
      <c r="K2" s="3"/>
      <c r="N2" s="161"/>
      <c r="O2" s="161"/>
      <c r="P2" s="161"/>
      <c r="Q2" s="161"/>
      <c r="R2" s="161"/>
      <c r="S2" s="161"/>
      <c r="T2" s="161"/>
      <c r="U2" s="161"/>
    </row>
    <row r="3" spans="1:21" x14ac:dyDescent="0.55000000000000004">
      <c r="A3" s="5" t="s">
        <v>2</v>
      </c>
      <c r="D3" s="137"/>
      <c r="G3" s="137"/>
      <c r="I3" s="137"/>
      <c r="L3" s="150" t="s">
        <v>208</v>
      </c>
      <c r="N3" s="161"/>
      <c r="O3" s="161"/>
      <c r="P3" s="161"/>
      <c r="Q3" s="161"/>
      <c r="R3" s="161"/>
      <c r="S3" s="161"/>
      <c r="T3" s="161"/>
      <c r="U3" s="161"/>
    </row>
    <row r="4" spans="1:21" x14ac:dyDescent="0.55000000000000004">
      <c r="A4" t="s">
        <v>3</v>
      </c>
      <c r="B4" s="169">
        <v>23500</v>
      </c>
      <c r="C4" s="261" t="s">
        <v>45</v>
      </c>
      <c r="D4" s="261"/>
      <c r="E4" s="170">
        <v>0.3</v>
      </c>
      <c r="G4" s="246" t="s">
        <v>209</v>
      </c>
      <c r="H4" s="246"/>
      <c r="I4" s="246"/>
      <c r="J4" s="246"/>
      <c r="K4" s="171">
        <v>0.46</v>
      </c>
      <c r="L4" s="150"/>
      <c r="N4" s="161"/>
      <c r="O4" s="161"/>
      <c r="P4" s="161"/>
      <c r="Q4" s="161"/>
      <c r="R4" s="161"/>
      <c r="S4" s="161"/>
      <c r="T4" s="161"/>
      <c r="U4" s="161"/>
    </row>
    <row r="5" spans="1:21" x14ac:dyDescent="0.55000000000000004">
      <c r="A5" t="s">
        <v>101</v>
      </c>
      <c r="B5" s="170">
        <v>0.05</v>
      </c>
      <c r="C5" s="261" t="s">
        <v>102</v>
      </c>
      <c r="D5" s="261"/>
      <c r="E5" s="170">
        <v>0.02</v>
      </c>
      <c r="F5" s="9"/>
      <c r="G5" s="261" t="s">
        <v>210</v>
      </c>
      <c r="H5" s="261"/>
      <c r="I5" s="261"/>
      <c r="J5" s="261"/>
      <c r="K5" s="170">
        <v>7.0000000000000007E-2</v>
      </c>
      <c r="L5" s="150"/>
      <c r="N5" s="161"/>
      <c r="O5" s="161"/>
      <c r="P5" s="161"/>
      <c r="Q5" s="161"/>
      <c r="R5" s="161"/>
      <c r="S5" s="161"/>
      <c r="T5" s="161"/>
      <c r="U5" s="161"/>
    </row>
    <row r="6" spans="1:21" x14ac:dyDescent="0.55000000000000004">
      <c r="A6" t="s">
        <v>190</v>
      </c>
      <c r="B6" s="99">
        <f>0.5-B5-E5-K5</f>
        <v>0.36</v>
      </c>
      <c r="C6" s="153"/>
      <c r="D6" s="153"/>
      <c r="E6" s="58"/>
      <c r="F6" s="9"/>
      <c r="G6" s="153"/>
      <c r="H6" s="153"/>
      <c r="I6" s="153"/>
      <c r="J6" s="153"/>
      <c r="K6" s="151"/>
      <c r="L6" s="150"/>
      <c r="N6" s="161"/>
      <c r="O6" s="161"/>
      <c r="P6" s="161"/>
      <c r="Q6" s="161"/>
      <c r="R6" s="161"/>
      <c r="S6" s="161"/>
      <c r="T6" s="161"/>
      <c r="U6" s="161"/>
    </row>
    <row r="7" spans="1:21" ht="27" customHeight="1" x14ac:dyDescent="0.55000000000000004">
      <c r="D7" s="137"/>
      <c r="G7" s="137"/>
      <c r="I7" s="137"/>
      <c r="L7" s="150"/>
      <c r="N7" s="161"/>
      <c r="O7" s="161"/>
      <c r="P7" s="161"/>
      <c r="Q7" s="161"/>
      <c r="R7" s="161"/>
      <c r="S7" s="161"/>
      <c r="T7" s="161"/>
      <c r="U7" s="161"/>
    </row>
    <row r="8" spans="1:21" ht="43.2" x14ac:dyDescent="0.55000000000000004">
      <c r="A8" s="119" t="s">
        <v>4</v>
      </c>
      <c r="B8" s="119" t="s">
        <v>0</v>
      </c>
      <c r="C8" s="119" t="s">
        <v>5</v>
      </c>
      <c r="D8" s="119"/>
      <c r="E8" s="119" t="s">
        <v>6</v>
      </c>
      <c r="F8" s="119" t="s">
        <v>5</v>
      </c>
      <c r="G8" s="119"/>
      <c r="H8" s="119"/>
      <c r="I8" s="119"/>
      <c r="J8" s="119" t="s">
        <v>109</v>
      </c>
      <c r="K8" s="119" t="s">
        <v>119</v>
      </c>
      <c r="L8" s="150"/>
      <c r="N8" s="161"/>
      <c r="O8" s="161"/>
      <c r="P8" s="161"/>
      <c r="Q8" s="161"/>
      <c r="R8" s="161"/>
      <c r="S8" s="161"/>
      <c r="T8" s="161"/>
      <c r="U8" s="161"/>
    </row>
    <row r="9" spans="1:21" x14ac:dyDescent="0.55000000000000004">
      <c r="A9" t="s">
        <v>7</v>
      </c>
      <c r="B9" s="172">
        <f>IF(D1=Prices!A1,Prices!B13,IF(D1=Prices!A2,Prices!D13,IF(D1=Prices!A3,Prices!G13,"")))</f>
        <v>18</v>
      </c>
      <c r="C9" s="11" t="s">
        <v>8</v>
      </c>
      <c r="D9" s="137" t="s">
        <v>9</v>
      </c>
      <c r="E9" s="12">
        <f>B4</f>
        <v>23500</v>
      </c>
      <c r="F9" s="11" t="s">
        <v>10</v>
      </c>
      <c r="G9" s="137"/>
      <c r="H9" s="13"/>
      <c r="I9" s="14" t="s">
        <v>11</v>
      </c>
      <c r="J9" s="15">
        <f>B9*(E9/100)</f>
        <v>4230</v>
      </c>
      <c r="K9" s="15">
        <f>B9</f>
        <v>18</v>
      </c>
      <c r="L9" s="150"/>
      <c r="N9" s="161"/>
      <c r="O9" s="161"/>
      <c r="P9" s="161"/>
      <c r="Q9" s="161"/>
      <c r="R9" s="161"/>
      <c r="S9" s="161"/>
      <c r="T9" s="161"/>
      <c r="U9" s="161"/>
    </row>
    <row r="10" spans="1:21" x14ac:dyDescent="0.55000000000000004">
      <c r="A10" t="s">
        <v>124</v>
      </c>
      <c r="B10" s="172">
        <v>0</v>
      </c>
      <c r="C10" s="11" t="s">
        <v>8</v>
      </c>
      <c r="D10" s="137" t="s">
        <v>9</v>
      </c>
      <c r="E10" s="12">
        <f>B4</f>
        <v>23500</v>
      </c>
      <c r="F10" s="11" t="s">
        <v>10</v>
      </c>
      <c r="G10" s="137"/>
      <c r="H10" s="13"/>
      <c r="I10" s="14" t="s">
        <v>11</v>
      </c>
      <c r="J10" s="15">
        <f>B10*E10</f>
        <v>0</v>
      </c>
      <c r="K10" s="118">
        <f>B10</f>
        <v>0</v>
      </c>
      <c r="L10" s="150"/>
      <c r="N10" s="161"/>
      <c r="O10" s="161"/>
      <c r="P10" s="161"/>
      <c r="Q10" s="161"/>
      <c r="R10" s="161"/>
      <c r="S10" s="161"/>
      <c r="T10" s="161"/>
      <c r="U10" s="161"/>
    </row>
    <row r="11" spans="1:21" x14ac:dyDescent="0.55000000000000004">
      <c r="A11" t="s">
        <v>12</v>
      </c>
      <c r="B11" s="173">
        <f>IF(D1=Prices!A1,Prices!B15,IF(D1=Prices!A2,Prices!D15,IF(D1=Prices!A3,Prices!G15,"")))</f>
        <v>75</v>
      </c>
      <c r="C11" s="11" t="s">
        <v>43</v>
      </c>
      <c r="D11" s="137" t="s">
        <v>9</v>
      </c>
      <c r="E11" s="25">
        <f>K4</f>
        <v>0.46</v>
      </c>
      <c r="F11" s="11" t="s">
        <v>46</v>
      </c>
      <c r="G11" s="137"/>
      <c r="H11" s="13"/>
      <c r="I11" s="14" t="s">
        <v>11</v>
      </c>
      <c r="J11" s="15">
        <f>B11*E11</f>
        <v>34.5</v>
      </c>
      <c r="K11" s="15">
        <f>J11/B4*100</f>
        <v>0.14680851063829786</v>
      </c>
      <c r="L11" s="150"/>
      <c r="N11" s="161"/>
      <c r="O11" s="161"/>
      <c r="P11" s="161"/>
      <c r="Q11" s="161"/>
      <c r="R11" s="161"/>
      <c r="S11" s="161"/>
      <c r="T11" s="161"/>
      <c r="U11" s="161"/>
    </row>
    <row r="12" spans="1:21" x14ac:dyDescent="0.55000000000000004">
      <c r="A12" t="s">
        <v>13</v>
      </c>
      <c r="B12" s="173">
        <f>IF(D1=Prices!A1,Prices!B17,IF(D1=Prices!A2,Prices!D17,IF(D1=Prices!A3,Prices!G17,"")))</f>
        <v>38</v>
      </c>
      <c r="C12" s="11" t="s">
        <v>8</v>
      </c>
      <c r="D12" s="137" t="s">
        <v>9</v>
      </c>
      <c r="E12" s="174">
        <v>1350</v>
      </c>
      <c r="F12" s="11" t="s">
        <v>10</v>
      </c>
      <c r="G12" s="137" t="s">
        <v>9</v>
      </c>
      <c r="H12" s="13">
        <f>E4</f>
        <v>0.3</v>
      </c>
      <c r="I12" s="14" t="s">
        <v>11</v>
      </c>
      <c r="J12" s="24">
        <f>B12*(E12/100)*H12</f>
        <v>153.9</v>
      </c>
      <c r="K12" s="24">
        <f>J12/$B$4*100</f>
        <v>0.65489361702127669</v>
      </c>
      <c r="L12" s="150"/>
      <c r="N12" s="161"/>
      <c r="O12" s="161"/>
      <c r="P12" s="161"/>
      <c r="Q12" s="161"/>
      <c r="R12" s="161"/>
      <c r="S12" s="161"/>
      <c r="T12" s="161"/>
      <c r="U12" s="161"/>
    </row>
    <row r="13" spans="1:21" x14ac:dyDescent="0.55000000000000004">
      <c r="A13" t="s">
        <v>101</v>
      </c>
      <c r="B13" s="173">
        <f>IF(D1=Prices!A1,Prices!B18,IF(D1=Prices!A2,Prices!D18,IF(D1=Prices!A3,Prices!G18,"")))</f>
        <v>107.88000000000001</v>
      </c>
      <c r="C13" s="11" t="s">
        <v>8</v>
      </c>
      <c r="D13" s="148" t="s">
        <v>9</v>
      </c>
      <c r="E13" s="174">
        <v>1250</v>
      </c>
      <c r="F13" s="11" t="s">
        <v>10</v>
      </c>
      <c r="G13" s="148" t="s">
        <v>9</v>
      </c>
      <c r="H13" s="156">
        <f>B5</f>
        <v>0.05</v>
      </c>
      <c r="I13" s="14" t="s">
        <v>11</v>
      </c>
      <c r="J13" s="15">
        <f>(B13*(E13/100))*H13</f>
        <v>67.425000000000011</v>
      </c>
      <c r="K13" s="24">
        <f t="shared" ref="K13:K14" si="0">J13/$B$4*100</f>
        <v>0.28691489361702133</v>
      </c>
      <c r="L13" s="150"/>
      <c r="N13" s="161"/>
      <c r="O13" s="161"/>
      <c r="P13" s="161"/>
      <c r="Q13" s="161"/>
      <c r="R13" s="161"/>
      <c r="S13" s="161"/>
      <c r="T13" s="161"/>
      <c r="U13" s="161"/>
    </row>
    <row r="14" spans="1:21" x14ac:dyDescent="0.55000000000000004">
      <c r="A14" t="s">
        <v>102</v>
      </c>
      <c r="B14" s="173">
        <f>IF(D1=Prices!A1,Prices!B19,IF(D1=Prices!A2,Prices!D19,IF(D1=Prices!A3,Prices!G19,"")))</f>
        <v>115</v>
      </c>
      <c r="C14" s="11" t="s">
        <v>8</v>
      </c>
      <c r="D14" s="148" t="s">
        <v>9</v>
      </c>
      <c r="E14" s="174">
        <v>725</v>
      </c>
      <c r="F14" s="11" t="s">
        <v>10</v>
      </c>
      <c r="G14" s="148" t="s">
        <v>9</v>
      </c>
      <c r="H14" s="156">
        <f>E5</f>
        <v>0.02</v>
      </c>
      <c r="I14" s="14" t="s">
        <v>11</v>
      </c>
      <c r="J14" s="15">
        <f>B14*(E14/100)*H14</f>
        <v>16.675000000000001</v>
      </c>
      <c r="K14" s="24">
        <f t="shared" si="0"/>
        <v>7.0957446808510641E-2</v>
      </c>
      <c r="L14" s="150"/>
      <c r="N14" s="161"/>
      <c r="O14" s="222"/>
      <c r="P14" s="161"/>
      <c r="Q14" s="161"/>
      <c r="R14" s="161"/>
      <c r="S14" s="161"/>
      <c r="T14" s="161"/>
      <c r="U14" s="161"/>
    </row>
    <row r="15" spans="1:21" x14ac:dyDescent="0.55000000000000004">
      <c r="A15" t="s">
        <v>14</v>
      </c>
      <c r="B15" s="16"/>
      <c r="C15" s="11"/>
      <c r="D15" s="137"/>
      <c r="E15" s="18"/>
      <c r="F15" s="11"/>
      <c r="G15" s="137"/>
      <c r="H15" s="13"/>
      <c r="I15" s="14"/>
      <c r="J15" s="173">
        <f>120+(35*B6)</f>
        <v>132.6</v>
      </c>
      <c r="K15" s="24">
        <f>J15/B4*100</f>
        <v>0.56425531914893612</v>
      </c>
      <c r="L15" s="150"/>
      <c r="N15" s="161"/>
      <c r="O15" s="161"/>
      <c r="P15" s="161"/>
      <c r="Q15" s="161"/>
      <c r="R15" s="161"/>
      <c r="S15" s="161"/>
      <c r="T15" s="161"/>
      <c r="U15" s="161"/>
    </row>
    <row r="16" spans="1:21" x14ac:dyDescent="0.55000000000000004">
      <c r="A16" t="s">
        <v>15</v>
      </c>
      <c r="B16" s="16"/>
      <c r="C16" s="11"/>
      <c r="D16" s="137"/>
      <c r="E16" s="18"/>
      <c r="F16" s="11"/>
      <c r="G16" s="137"/>
      <c r="H16" s="13"/>
      <c r="I16" s="14"/>
      <c r="J16" s="173">
        <v>86</v>
      </c>
      <c r="K16" s="24">
        <f>J16/B4*100</f>
        <v>0.36595744680851061</v>
      </c>
      <c r="L16" s="150"/>
      <c r="N16" s="161"/>
      <c r="O16" s="161"/>
      <c r="P16" s="161"/>
      <c r="Q16" s="161"/>
      <c r="R16" s="161"/>
      <c r="S16" s="161"/>
      <c r="T16" s="161"/>
      <c r="U16" s="161"/>
    </row>
    <row r="17" spans="1:22" x14ac:dyDescent="0.55000000000000004">
      <c r="A17" s="19" t="s">
        <v>16</v>
      </c>
      <c r="B17" s="20"/>
      <c r="C17" s="20"/>
      <c r="D17" s="143"/>
      <c r="E17" s="20"/>
      <c r="F17" s="20"/>
      <c r="G17" s="143"/>
      <c r="H17" s="20"/>
      <c r="I17" s="143"/>
      <c r="J17" s="22">
        <f>SUM(J9:J16)</f>
        <v>4721.1000000000004</v>
      </c>
      <c r="K17" s="22">
        <f>SUM(K9:K16)</f>
        <v>20.089787234042554</v>
      </c>
      <c r="L17" s="150"/>
      <c r="M17" s="15"/>
      <c r="N17" s="161"/>
      <c r="O17" s="161"/>
      <c r="P17" s="161"/>
      <c r="Q17" s="161"/>
      <c r="R17" s="161"/>
      <c r="S17" s="161"/>
      <c r="T17" s="161"/>
      <c r="U17" s="161"/>
    </row>
    <row r="18" spans="1:22" x14ac:dyDescent="0.55000000000000004">
      <c r="A18" s="23"/>
      <c r="D18" s="137"/>
      <c r="G18" s="137"/>
      <c r="I18" s="137"/>
      <c r="L18" s="150"/>
      <c r="N18" s="161"/>
      <c r="O18" s="161"/>
      <c r="P18" s="161"/>
      <c r="Q18" s="161"/>
      <c r="R18" s="161"/>
      <c r="S18" s="161"/>
      <c r="T18" s="161"/>
      <c r="U18" s="161"/>
      <c r="V18" s="15"/>
    </row>
    <row r="19" spans="1:22" x14ac:dyDescent="0.55000000000000004">
      <c r="A19" s="119" t="s">
        <v>17</v>
      </c>
      <c r="B19" s="20"/>
      <c r="C19" s="20"/>
      <c r="D19" s="143"/>
      <c r="E19" s="20"/>
      <c r="F19" s="20"/>
      <c r="G19" s="143"/>
      <c r="H19" s="20"/>
      <c r="I19" s="143"/>
      <c r="J19" s="20"/>
      <c r="K19" s="20"/>
      <c r="L19" s="150"/>
      <c r="N19" s="161"/>
      <c r="O19" s="161"/>
      <c r="P19" s="161"/>
      <c r="Q19" s="161"/>
      <c r="R19" s="161"/>
      <c r="S19" s="161"/>
      <c r="T19" s="161"/>
      <c r="U19" s="161"/>
      <c r="V19" s="15"/>
    </row>
    <row r="20" spans="1:22" x14ac:dyDescent="0.55000000000000004">
      <c r="A20" s="26" t="s">
        <v>188</v>
      </c>
      <c r="B20" s="175">
        <f>IF(D1="Current Prices", Prices!B11,IF(D1="One Year Out Prices", Prices!D11, IF(D1="Five Years Out Prices", Prices!G11,"")))</f>
        <v>852</v>
      </c>
      <c r="C20" s="11" t="s">
        <v>189</v>
      </c>
      <c r="D20" s="148"/>
      <c r="F20" s="11"/>
      <c r="G20" s="148" t="s">
        <v>9</v>
      </c>
      <c r="H20" s="25">
        <f>B6+(0.5*(B5+E5+K5))</f>
        <v>0.43</v>
      </c>
      <c r="I20" s="14"/>
      <c r="J20" s="173">
        <f>B20*H20</f>
        <v>366.36</v>
      </c>
      <c r="K20" s="24">
        <f>J20/$B$4*100</f>
        <v>1.5589787234042554</v>
      </c>
      <c r="L20" s="150"/>
      <c r="N20" s="161"/>
      <c r="O20" s="161"/>
      <c r="P20" s="161"/>
      <c r="Q20" s="161"/>
      <c r="R20" s="161"/>
      <c r="S20" s="161"/>
      <c r="T20" s="161"/>
      <c r="U20" s="161"/>
    </row>
    <row r="21" spans="1:22" x14ac:dyDescent="0.55000000000000004">
      <c r="A21" t="s">
        <v>225</v>
      </c>
      <c r="B21" s="175">
        <f>IF(D1="Current Prices", (26.56+(0.1645*Prices!B9)+(0.01277*Prices!B9^2)+(-0.00273*B4)+(0.0000000746*B4^2)),IF(D1="One Year Out Prices", (26.56+(0.1645*Prices!D9)+(0.01277*Prices!D9^2)+(-0.00273*B4)+(0.0000000746*B4^2)), IF(D1="Five Years Out Prices", (26.56+(0.1645*Prices!G9)+(0.01277*Prices!G9^2)+(-0.00273*B4)+(0.0000000746*B4^2)),"")))</f>
        <v>6.0409067419900992</v>
      </c>
      <c r="C21" s="11" t="s">
        <v>125</v>
      </c>
      <c r="D21" s="152" t="s">
        <v>9</v>
      </c>
      <c r="E21" s="12">
        <v>365</v>
      </c>
      <c r="F21" s="11" t="s">
        <v>49</v>
      </c>
      <c r="G21" s="152"/>
      <c r="H21" s="13"/>
      <c r="I21" s="14"/>
      <c r="J21" s="173">
        <f>B21*E21</f>
        <v>2204.9309608263861</v>
      </c>
      <c r="K21" s="24">
        <f>J21/$B$4*100</f>
        <v>9.3826849396867509</v>
      </c>
      <c r="L21" s="150" t="s">
        <v>177</v>
      </c>
      <c r="N21" s="168"/>
      <c r="O21" s="161"/>
      <c r="P21" s="161"/>
      <c r="Q21" s="161"/>
      <c r="R21" s="161"/>
      <c r="S21" s="161"/>
      <c r="T21" s="161"/>
      <c r="U21" s="161"/>
    </row>
    <row r="22" spans="1:22" x14ac:dyDescent="0.55000000000000004">
      <c r="A22" s="26" t="s">
        <v>191</v>
      </c>
      <c r="B22" s="24"/>
      <c r="C22" s="11"/>
      <c r="D22" s="137"/>
      <c r="E22" s="25"/>
      <c r="F22" s="11"/>
      <c r="G22" s="137"/>
      <c r="H22" s="13"/>
      <c r="I22" s="14"/>
      <c r="J22" s="173">
        <v>62</v>
      </c>
      <c r="K22" s="24">
        <f t="shared" ref="K22:K33" si="1">J22/$B$4*100</f>
        <v>0.26382978723404255</v>
      </c>
      <c r="L22" s="150" t="s">
        <v>179</v>
      </c>
      <c r="N22" s="168"/>
      <c r="O22" s="223"/>
      <c r="P22" s="161"/>
      <c r="Q22" s="161"/>
      <c r="R22" s="161"/>
      <c r="S22" s="161"/>
      <c r="T22" s="161"/>
      <c r="U22" s="161"/>
    </row>
    <row r="23" spans="1:22" x14ac:dyDescent="0.55000000000000004">
      <c r="A23" s="26" t="s">
        <v>157</v>
      </c>
      <c r="B23" s="173">
        <v>15</v>
      </c>
      <c r="C23" s="11" t="s">
        <v>18</v>
      </c>
      <c r="D23" s="137" t="s">
        <v>9</v>
      </c>
      <c r="E23" s="176">
        <v>42</v>
      </c>
      <c r="F23" s="11" t="s">
        <v>19</v>
      </c>
      <c r="G23" s="137"/>
      <c r="H23" s="13"/>
      <c r="I23" s="14" t="s">
        <v>11</v>
      </c>
      <c r="J23" s="24">
        <f>B23*E23</f>
        <v>630</v>
      </c>
      <c r="K23" s="24">
        <f t="shared" si="1"/>
        <v>2.6808510638297873</v>
      </c>
      <c r="L23" s="155" t="s">
        <v>182</v>
      </c>
      <c r="N23" s="168"/>
      <c r="O23" s="223"/>
      <c r="P23" s="161"/>
      <c r="Q23" s="161"/>
      <c r="R23" s="161"/>
      <c r="S23" s="161"/>
      <c r="T23" s="161"/>
      <c r="U23" s="161"/>
    </row>
    <row r="24" spans="1:22" x14ac:dyDescent="0.55000000000000004">
      <c r="A24" s="26" t="s">
        <v>156</v>
      </c>
      <c r="B24" s="173">
        <v>25</v>
      </c>
      <c r="C24" s="11" t="s">
        <v>18</v>
      </c>
      <c r="D24" s="153" t="s">
        <v>9</v>
      </c>
      <c r="E24" s="176">
        <v>9.5</v>
      </c>
      <c r="F24" s="11" t="s">
        <v>19</v>
      </c>
      <c r="G24" s="153"/>
      <c r="H24" s="13"/>
      <c r="I24" s="14" t="s">
        <v>11</v>
      </c>
      <c r="J24" s="24">
        <f>B24*E24</f>
        <v>237.5</v>
      </c>
      <c r="K24" s="24">
        <f t="shared" ref="K24" si="2">J24/$B$4*100</f>
        <v>1.0106382978723405</v>
      </c>
      <c r="L24" s="155"/>
      <c r="N24" s="168"/>
      <c r="O24" s="223"/>
      <c r="P24" s="161"/>
      <c r="Q24" s="161"/>
      <c r="R24" s="161"/>
      <c r="S24" s="161"/>
      <c r="T24" s="161"/>
      <c r="U24" s="161"/>
    </row>
    <row r="25" spans="1:22" x14ac:dyDescent="0.55000000000000004">
      <c r="A25" s="26" t="s">
        <v>203</v>
      </c>
      <c r="B25" s="16"/>
      <c r="C25" s="11"/>
      <c r="D25" s="137"/>
      <c r="E25" s="27"/>
      <c r="F25" s="11"/>
      <c r="G25" s="137"/>
      <c r="H25" s="13"/>
      <c r="I25" s="14"/>
      <c r="J25" s="173">
        <v>105</v>
      </c>
      <c r="K25" s="24">
        <f t="shared" si="1"/>
        <v>0.44680851063829791</v>
      </c>
      <c r="L25" s="150" t="s">
        <v>187</v>
      </c>
      <c r="M25" s="15"/>
      <c r="N25" s="168"/>
      <c r="O25" s="223"/>
      <c r="P25" s="161"/>
      <c r="Q25" s="161"/>
      <c r="R25" s="161"/>
      <c r="S25" s="161"/>
      <c r="T25" s="161"/>
      <c r="U25" s="161"/>
    </row>
    <row r="26" spans="1:22" x14ac:dyDescent="0.55000000000000004">
      <c r="A26" t="s">
        <v>132</v>
      </c>
      <c r="B26" s="16"/>
      <c r="C26" s="11"/>
      <c r="D26" s="137"/>
      <c r="E26" s="18"/>
      <c r="F26" s="11"/>
      <c r="G26" s="137"/>
      <c r="H26" s="13"/>
      <c r="I26" s="14"/>
      <c r="J26" s="173">
        <v>160</v>
      </c>
      <c r="K26" s="24">
        <f t="shared" si="1"/>
        <v>0.68085106382978722</v>
      </c>
      <c r="L26" s="150" t="s">
        <v>179</v>
      </c>
      <c r="N26" s="168"/>
      <c r="O26" s="223"/>
      <c r="P26" s="161"/>
      <c r="Q26" s="161"/>
      <c r="R26" s="161"/>
      <c r="S26" s="161"/>
      <c r="T26" s="161"/>
      <c r="U26" s="161"/>
    </row>
    <row r="27" spans="1:22" x14ac:dyDescent="0.55000000000000004">
      <c r="A27" t="s">
        <v>181</v>
      </c>
      <c r="B27" s="16"/>
      <c r="C27" s="11"/>
      <c r="D27" s="137"/>
      <c r="E27" s="18"/>
      <c r="F27" s="11"/>
      <c r="G27" s="137"/>
      <c r="H27" s="13"/>
      <c r="I27" s="14"/>
      <c r="J27" s="173">
        <v>85</v>
      </c>
      <c r="K27" s="24">
        <f t="shared" si="1"/>
        <v>0.36170212765957449</v>
      </c>
      <c r="L27" s="150" t="s">
        <v>179</v>
      </c>
      <c r="N27" s="168"/>
      <c r="O27" s="223"/>
      <c r="P27" s="161"/>
      <c r="Q27" s="161"/>
      <c r="R27" s="161"/>
      <c r="S27" s="161"/>
      <c r="T27" s="161"/>
      <c r="U27" s="161"/>
    </row>
    <row r="28" spans="1:22" x14ac:dyDescent="0.55000000000000004">
      <c r="A28" s="26" t="s">
        <v>183</v>
      </c>
      <c r="B28" s="16"/>
      <c r="C28" s="11"/>
      <c r="D28" s="137"/>
      <c r="E28" s="18"/>
      <c r="F28" s="11"/>
      <c r="G28" s="137"/>
      <c r="H28" s="13"/>
      <c r="I28" s="14"/>
      <c r="J28" s="173">
        <v>83</v>
      </c>
      <c r="K28" s="24">
        <f t="shared" si="1"/>
        <v>0.35319148936170214</v>
      </c>
      <c r="L28" s="150" t="s">
        <v>184</v>
      </c>
      <c r="N28" s="168"/>
      <c r="O28" s="223"/>
      <c r="P28" s="161"/>
      <c r="Q28" s="161"/>
      <c r="R28" s="161"/>
      <c r="S28" s="161"/>
      <c r="T28" s="161"/>
      <c r="U28" s="161"/>
    </row>
    <row r="29" spans="1:22" x14ac:dyDescent="0.55000000000000004">
      <c r="A29" t="s">
        <v>21</v>
      </c>
      <c r="B29" s="16"/>
      <c r="C29" s="11"/>
      <c r="D29" s="137"/>
      <c r="E29" s="18"/>
      <c r="F29" s="11"/>
      <c r="G29" s="137"/>
      <c r="H29" s="13"/>
      <c r="I29" s="14"/>
      <c r="J29" s="173">
        <v>160</v>
      </c>
      <c r="K29" s="24">
        <f t="shared" si="1"/>
        <v>0.68085106382978722</v>
      </c>
      <c r="L29" s="150" t="s">
        <v>179</v>
      </c>
      <c r="N29" s="168"/>
      <c r="O29" s="223"/>
      <c r="P29" s="161"/>
      <c r="Q29" s="161"/>
      <c r="R29" s="161"/>
      <c r="S29" s="161"/>
      <c r="T29" s="161"/>
      <c r="U29" s="161"/>
    </row>
    <row r="30" spans="1:22" x14ac:dyDescent="0.55000000000000004">
      <c r="A30" t="s">
        <v>131</v>
      </c>
      <c r="B30" s="16"/>
      <c r="C30" s="11"/>
      <c r="D30" s="137"/>
      <c r="E30" s="18"/>
      <c r="F30" s="11"/>
      <c r="G30" s="137"/>
      <c r="H30" s="13"/>
      <c r="I30" s="14"/>
      <c r="J30" s="173">
        <v>120</v>
      </c>
      <c r="K30" s="24">
        <f t="shared" si="1"/>
        <v>0.51063829787234039</v>
      </c>
      <c r="L30" s="150" t="s">
        <v>179</v>
      </c>
      <c r="N30" s="168"/>
      <c r="O30" s="223"/>
      <c r="P30" s="161"/>
      <c r="Q30" s="161"/>
      <c r="R30" s="161"/>
      <c r="S30" s="161"/>
      <c r="T30" s="161"/>
      <c r="U30" s="161"/>
    </row>
    <row r="31" spans="1:22" x14ac:dyDescent="0.55000000000000004">
      <c r="A31" t="s">
        <v>200</v>
      </c>
      <c r="B31" s="16"/>
      <c r="C31" s="11"/>
      <c r="D31" s="153"/>
      <c r="E31" s="18"/>
      <c r="F31" s="11"/>
      <c r="G31" s="153"/>
      <c r="H31" s="13"/>
      <c r="I31" s="14"/>
      <c r="J31" s="173">
        <v>77</v>
      </c>
      <c r="K31" s="24">
        <f t="shared" si="1"/>
        <v>0.32765957446808508</v>
      </c>
      <c r="L31" s="150" t="s">
        <v>179</v>
      </c>
      <c r="N31" s="168"/>
      <c r="O31" s="223"/>
      <c r="P31" s="161"/>
      <c r="Q31" s="161"/>
      <c r="R31" s="161"/>
      <c r="S31" s="161"/>
      <c r="T31" s="161"/>
      <c r="U31" s="161"/>
    </row>
    <row r="32" spans="1:22" x14ac:dyDescent="0.55000000000000004">
      <c r="A32" t="s">
        <v>207</v>
      </c>
      <c r="D32" s="137"/>
      <c r="G32" s="137"/>
      <c r="I32" s="137"/>
      <c r="J32" s="173">
        <v>102</v>
      </c>
      <c r="K32" s="24">
        <f>J32/$B$4*100</f>
        <v>0.43404255319148932</v>
      </c>
      <c r="L32" s="150" t="s">
        <v>185</v>
      </c>
      <c r="N32" s="168"/>
      <c r="O32" s="223"/>
      <c r="P32" s="161"/>
      <c r="Q32" s="161"/>
      <c r="R32" s="161"/>
      <c r="S32" s="161"/>
      <c r="T32" s="161"/>
      <c r="U32" s="161"/>
    </row>
    <row r="33" spans="1:21" x14ac:dyDescent="0.55000000000000004">
      <c r="A33" t="s">
        <v>22</v>
      </c>
      <c r="B33" s="16"/>
      <c r="C33" s="11"/>
      <c r="D33" s="137"/>
      <c r="E33" s="18"/>
      <c r="F33" s="11"/>
      <c r="G33" s="137"/>
      <c r="H33" s="13"/>
      <c r="I33" s="14"/>
      <c r="J33" s="173">
        <v>303</v>
      </c>
      <c r="K33" s="24">
        <f t="shared" si="1"/>
        <v>1.2893617021276595</v>
      </c>
      <c r="L33" s="150" t="s">
        <v>212</v>
      </c>
      <c r="N33" s="168"/>
      <c r="O33" s="223"/>
      <c r="P33" s="161"/>
      <c r="Q33" s="161"/>
      <c r="R33" s="161"/>
      <c r="S33" s="161"/>
      <c r="T33" s="161"/>
      <c r="U33" s="161"/>
    </row>
    <row r="34" spans="1:21" x14ac:dyDescent="0.55000000000000004">
      <c r="A34" s="23" t="s">
        <v>23</v>
      </c>
      <c r="D34" s="137"/>
      <c r="G34" s="137"/>
      <c r="I34" s="137"/>
      <c r="J34" s="28">
        <f>SUM(J20:J33)</f>
        <v>4695.7909608263863</v>
      </c>
      <c r="K34" s="28">
        <f>SUM(K20:K33)</f>
        <v>19.982089195005901</v>
      </c>
      <c r="L34" s="150"/>
      <c r="N34" s="168"/>
      <c r="O34" s="223"/>
      <c r="P34" s="161"/>
      <c r="Q34" s="161"/>
      <c r="R34" s="161"/>
      <c r="S34" s="161"/>
      <c r="T34" s="161"/>
      <c r="U34" s="161"/>
    </row>
    <row r="35" spans="1:21" x14ac:dyDescent="0.55000000000000004">
      <c r="D35" s="137"/>
      <c r="G35" s="137"/>
      <c r="I35" s="137"/>
      <c r="L35" s="150"/>
      <c r="N35" s="168"/>
      <c r="O35" s="223"/>
      <c r="P35" s="161"/>
      <c r="Q35" s="161"/>
      <c r="R35" s="161"/>
      <c r="S35" s="161"/>
      <c r="T35" s="161"/>
      <c r="U35" s="161"/>
    </row>
    <row r="36" spans="1:21" x14ac:dyDescent="0.55000000000000004">
      <c r="A36" s="119" t="s">
        <v>24</v>
      </c>
      <c r="B36" s="20"/>
      <c r="C36" s="20"/>
      <c r="D36" s="143"/>
      <c r="E36" s="20"/>
      <c r="F36" s="20"/>
      <c r="G36" s="143"/>
      <c r="H36" s="20"/>
      <c r="I36" s="143"/>
      <c r="J36" s="20"/>
      <c r="K36" s="20"/>
      <c r="L36" s="150"/>
      <c r="N36" s="168"/>
      <c r="O36" s="223"/>
      <c r="P36" s="161"/>
      <c r="Q36" s="161"/>
      <c r="R36" s="161"/>
      <c r="S36" s="161"/>
      <c r="T36" s="161"/>
      <c r="U36" s="161"/>
    </row>
    <row r="37" spans="1:21" x14ac:dyDescent="0.55000000000000004">
      <c r="A37" t="s">
        <v>25</v>
      </c>
      <c r="D37" s="137"/>
      <c r="G37" s="137"/>
      <c r="I37" s="137"/>
      <c r="J37" s="173">
        <v>192</v>
      </c>
      <c r="K37" s="24">
        <f>J37/$B$4*100</f>
        <v>0.81702127659574464</v>
      </c>
      <c r="L37" s="150" t="s">
        <v>179</v>
      </c>
      <c r="N37" s="168"/>
      <c r="O37" s="223"/>
      <c r="P37" s="161"/>
      <c r="Q37" s="161"/>
      <c r="R37" s="161"/>
      <c r="S37" s="161"/>
      <c r="T37" s="161"/>
      <c r="U37" s="161"/>
    </row>
    <row r="38" spans="1:21" x14ac:dyDescent="0.55000000000000004">
      <c r="A38" t="s">
        <v>27</v>
      </c>
      <c r="D38" s="137"/>
      <c r="G38" s="137"/>
      <c r="I38" s="137"/>
      <c r="J38" s="173">
        <v>65</v>
      </c>
      <c r="K38" s="24">
        <f t="shared" ref="K38:K40" si="3">J38/$B$4*100</f>
        <v>0.27659574468085107</v>
      </c>
      <c r="L38" s="150" t="s">
        <v>179</v>
      </c>
      <c r="N38" s="168"/>
      <c r="O38" s="223"/>
      <c r="P38" s="161"/>
      <c r="Q38" s="161"/>
      <c r="R38" s="161"/>
      <c r="S38" s="161"/>
      <c r="T38" s="161"/>
      <c r="U38" s="161"/>
    </row>
    <row r="39" spans="1:21" x14ac:dyDescent="0.55000000000000004">
      <c r="A39" s="29" t="s">
        <v>28</v>
      </c>
      <c r="B39" s="29"/>
      <c r="C39" s="29"/>
      <c r="D39" s="141"/>
      <c r="E39" s="29"/>
      <c r="F39" s="29"/>
      <c r="G39" s="141"/>
      <c r="H39" s="29"/>
      <c r="I39" s="141"/>
      <c r="J39" s="177">
        <v>268</v>
      </c>
      <c r="K39" s="24">
        <f t="shared" si="3"/>
        <v>1.1404255319148937</v>
      </c>
      <c r="L39" s="150" t="s">
        <v>221</v>
      </c>
      <c r="M39" s="15"/>
      <c r="N39" s="168"/>
      <c r="O39" s="223"/>
      <c r="P39" s="221"/>
      <c r="Q39" s="161"/>
      <c r="R39" s="161"/>
      <c r="S39" s="161"/>
      <c r="T39" s="161"/>
      <c r="U39" s="161"/>
    </row>
    <row r="40" spans="1:21" x14ac:dyDescent="0.55000000000000004">
      <c r="A40" s="31" t="s">
        <v>29</v>
      </c>
      <c r="B40" s="29"/>
      <c r="C40" s="29"/>
      <c r="D40" s="141"/>
      <c r="E40" s="29"/>
      <c r="F40" s="29"/>
      <c r="G40" s="141"/>
      <c r="H40" s="29"/>
      <c r="I40" s="141"/>
      <c r="J40" s="177">
        <v>134</v>
      </c>
      <c r="K40" s="24">
        <f t="shared" si="3"/>
        <v>0.57021276595744685</v>
      </c>
      <c r="L40" s="150" t="s">
        <v>185</v>
      </c>
      <c r="N40" s="168"/>
      <c r="O40" s="223"/>
      <c r="P40" s="161"/>
      <c r="Q40" s="161"/>
      <c r="R40" s="161"/>
      <c r="S40" s="161"/>
      <c r="T40" s="161"/>
      <c r="U40" s="161"/>
    </row>
    <row r="41" spans="1:21" x14ac:dyDescent="0.55000000000000004">
      <c r="A41" s="32" t="s">
        <v>30</v>
      </c>
      <c r="B41" s="33"/>
      <c r="C41" s="33"/>
      <c r="D41" s="142"/>
      <c r="E41" s="33"/>
      <c r="F41" s="33"/>
      <c r="G41" s="142"/>
      <c r="H41" s="33"/>
      <c r="I41" s="142"/>
      <c r="J41" s="35">
        <f>SUM(J37:J40)</f>
        <v>659</v>
      </c>
      <c r="K41" s="35">
        <f>SUM(K37:K40)</f>
        <v>2.8042553191489366</v>
      </c>
      <c r="L41" s="150"/>
      <c r="N41" s="168"/>
      <c r="O41" s="223"/>
      <c r="P41" s="161"/>
      <c r="Q41" s="161"/>
      <c r="R41" s="161"/>
      <c r="S41" s="161"/>
      <c r="T41" s="161"/>
      <c r="U41" s="161"/>
    </row>
    <row r="42" spans="1:21" x14ac:dyDescent="0.55000000000000004">
      <c r="B42" s="16"/>
      <c r="C42" s="11"/>
      <c r="D42" s="137"/>
      <c r="E42" s="18"/>
      <c r="F42" s="11"/>
      <c r="G42" s="137"/>
      <c r="H42" s="13"/>
      <c r="I42" s="14"/>
      <c r="J42" s="16"/>
      <c r="K42" s="16"/>
      <c r="L42" s="150"/>
      <c r="N42" s="168"/>
      <c r="O42" s="223"/>
      <c r="P42" s="161"/>
      <c r="Q42" s="161"/>
      <c r="R42" s="161"/>
      <c r="S42" s="161"/>
      <c r="T42" s="161"/>
      <c r="U42" s="161"/>
    </row>
    <row r="43" spans="1:21" x14ac:dyDescent="0.55000000000000004">
      <c r="A43" s="119" t="s">
        <v>31</v>
      </c>
      <c r="B43" s="20"/>
      <c r="C43" s="20"/>
      <c r="D43" s="143"/>
      <c r="E43" s="20"/>
      <c r="F43" s="20"/>
      <c r="G43" s="143"/>
      <c r="H43" s="20"/>
      <c r="I43" s="143"/>
      <c r="J43" s="22">
        <f>J34+J41</f>
        <v>5354.7909608263863</v>
      </c>
      <c r="K43" s="22">
        <f>K34+K41</f>
        <v>22.786344514154838</v>
      </c>
      <c r="L43" s="150" t="s">
        <v>178</v>
      </c>
      <c r="N43" s="168"/>
      <c r="O43" s="223"/>
      <c r="P43" s="161"/>
      <c r="Q43" s="161"/>
      <c r="R43" s="161"/>
      <c r="S43" s="161"/>
      <c r="T43" s="161"/>
      <c r="U43" s="161"/>
    </row>
    <row r="44" spans="1:21" x14ac:dyDescent="0.55000000000000004">
      <c r="D44" s="137"/>
      <c r="G44" s="137"/>
      <c r="I44" s="137"/>
      <c r="L44" s="150"/>
      <c r="N44" s="161"/>
      <c r="O44" s="161"/>
      <c r="P44" s="161"/>
      <c r="Q44" s="161"/>
      <c r="R44" s="161"/>
      <c r="S44" s="161"/>
      <c r="T44" s="161"/>
      <c r="U44" s="161"/>
    </row>
    <row r="45" spans="1:21" x14ac:dyDescent="0.55000000000000004">
      <c r="A45" t="s">
        <v>32</v>
      </c>
      <c r="D45" s="137"/>
      <c r="G45" s="137"/>
      <c r="I45" s="137"/>
      <c r="J45" s="15">
        <f>J17-J34</f>
        <v>25.30903917361411</v>
      </c>
      <c r="K45" s="15">
        <f>K17-K34</f>
        <v>0.1076980390366522</v>
      </c>
      <c r="L45" s="150"/>
      <c r="N45" s="161"/>
      <c r="O45" s="161"/>
      <c r="P45" s="161"/>
      <c r="Q45" s="161"/>
      <c r="R45" s="161"/>
      <c r="S45" s="161"/>
      <c r="T45" s="161"/>
      <c r="U45" s="161"/>
    </row>
    <row r="46" spans="1:21" ht="14.7" thickBot="1" x14ac:dyDescent="0.6">
      <c r="A46" s="36" t="s">
        <v>33</v>
      </c>
      <c r="D46" s="137"/>
      <c r="G46" s="137"/>
      <c r="I46" s="137"/>
      <c r="J46" s="37">
        <f>J17-J43</f>
        <v>-633.69096082638589</v>
      </c>
      <c r="K46" s="37">
        <f>K17-K43</f>
        <v>-2.6965572801122839</v>
      </c>
      <c r="L46" s="150"/>
      <c r="M46" s="104"/>
      <c r="N46" s="161"/>
      <c r="O46" s="161"/>
      <c r="P46" s="161"/>
      <c r="Q46" s="161"/>
      <c r="R46" s="161"/>
      <c r="S46" s="161"/>
      <c r="T46" s="161"/>
      <c r="U46" s="161"/>
    </row>
    <row r="47" spans="1:21" ht="14.7" thickTop="1" x14ac:dyDescent="0.55000000000000004"/>
    <row r="48" spans="1:21" x14ac:dyDescent="0.55000000000000004">
      <c r="A48" s="248" t="s">
        <v>34</v>
      </c>
      <c r="B48" s="249"/>
      <c r="C48" s="249"/>
      <c r="D48" s="249"/>
      <c r="E48" s="249"/>
      <c r="F48" s="249"/>
      <c r="G48" s="249"/>
      <c r="H48" s="249"/>
      <c r="I48" s="249"/>
      <c r="J48" s="249"/>
      <c r="K48" s="109"/>
    </row>
    <row r="49" spans="1:11" ht="15.6" x14ac:dyDescent="0.6">
      <c r="A49" s="40" t="s">
        <v>226</v>
      </c>
      <c r="B49" s="40"/>
      <c r="C49" s="40"/>
      <c r="D49" s="40"/>
      <c r="E49" s="40"/>
      <c r="F49" s="40"/>
      <c r="G49" s="40"/>
      <c r="H49" s="40"/>
      <c r="I49" s="40"/>
      <c r="J49" s="259" t="str">
        <f>Introduction!L8</f>
        <v>Version- 12.2.2019</v>
      </c>
      <c r="K49" s="259"/>
    </row>
    <row r="50" spans="1:11" ht="23.25" customHeight="1" x14ac:dyDescent="0.55000000000000004">
      <c r="B50" s="41"/>
    </row>
    <row r="51" spans="1:11" ht="19.5" customHeight="1" thickBot="1" x14ac:dyDescent="0.75">
      <c r="A51" s="250" t="s">
        <v>196</v>
      </c>
      <c r="B51" s="250"/>
      <c r="C51" s="250"/>
      <c r="D51" s="250"/>
      <c r="E51" s="250"/>
      <c r="F51" s="250"/>
      <c r="G51" s="247"/>
      <c r="H51" s="247"/>
      <c r="I51" s="247"/>
      <c r="J51" s="247"/>
      <c r="K51" s="139"/>
    </row>
    <row r="94" spans="1:11" ht="64.5" customHeight="1" x14ac:dyDescent="0.55000000000000004"/>
    <row r="95" spans="1:11" x14ac:dyDescent="0.55000000000000004">
      <c r="A95" s="248" t="s">
        <v>34</v>
      </c>
      <c r="B95" s="249"/>
      <c r="C95" s="249"/>
      <c r="D95" s="249"/>
      <c r="E95" s="249"/>
      <c r="F95" s="249"/>
      <c r="G95" s="249"/>
      <c r="H95" s="249"/>
      <c r="I95" s="249"/>
      <c r="J95" s="249"/>
      <c r="K95" s="109"/>
    </row>
    <row r="96" spans="1:11" ht="15.6" x14ac:dyDescent="0.6">
      <c r="A96" s="40" t="s">
        <v>226</v>
      </c>
      <c r="B96" s="40"/>
      <c r="C96" s="40"/>
      <c r="D96" s="40"/>
      <c r="E96" s="40"/>
      <c r="F96" s="40"/>
      <c r="G96" s="40"/>
      <c r="H96" s="40"/>
      <c r="I96" s="40"/>
      <c r="J96" s="259" t="str">
        <f>J49</f>
        <v>Version- 12.2.2019</v>
      </c>
      <c r="K96" s="259"/>
    </row>
    <row r="97" spans="1:11" ht="15.6" x14ac:dyDescent="0.6">
      <c r="A97" s="42"/>
      <c r="B97" s="42"/>
      <c r="C97" s="42"/>
      <c r="D97" s="42"/>
      <c r="E97" s="42"/>
      <c r="F97" s="42"/>
      <c r="G97" s="42"/>
      <c r="H97" s="42"/>
      <c r="I97" s="42"/>
      <c r="J97" s="42"/>
      <c r="K97" s="42"/>
    </row>
    <row r="98" spans="1:11" ht="19.5" customHeight="1" thickBot="1" x14ac:dyDescent="0.75">
      <c r="A98" s="250" t="s">
        <v>196</v>
      </c>
      <c r="B98" s="250"/>
      <c r="C98" s="250"/>
      <c r="D98" s="250"/>
      <c r="E98" s="250"/>
      <c r="F98" s="250"/>
      <c r="G98" s="247"/>
      <c r="H98" s="247"/>
      <c r="I98" s="247"/>
      <c r="J98" s="247"/>
      <c r="K98" s="139"/>
    </row>
    <row r="112" spans="1:11" ht="111.75" customHeight="1" x14ac:dyDescent="0.55000000000000004"/>
    <row r="113" spans="1:6" ht="15.75" customHeight="1" x14ac:dyDescent="0.6">
      <c r="A113" s="43" t="s">
        <v>36</v>
      </c>
      <c r="B113" s="29"/>
      <c r="C113" s="29"/>
      <c r="D113" s="29"/>
      <c r="E113" s="29"/>
      <c r="F113" s="29"/>
    </row>
    <row r="114" spans="1:6" ht="47.25" customHeight="1" x14ac:dyDescent="0.75">
      <c r="A114" s="120" t="s">
        <v>110</v>
      </c>
      <c r="B114" s="121"/>
      <c r="C114" s="121"/>
      <c r="D114" s="121"/>
      <c r="E114" s="121"/>
      <c r="F114" s="122"/>
    </row>
    <row r="115" spans="1:6" ht="15" customHeight="1" x14ac:dyDescent="0.55000000000000004">
      <c r="A115" s="114"/>
      <c r="B115" s="119" t="s">
        <v>37</v>
      </c>
      <c r="C115" s="243" t="s">
        <v>38</v>
      </c>
      <c r="D115" s="243"/>
      <c r="E115" s="244" t="s">
        <v>39</v>
      </c>
      <c r="F115" s="245"/>
    </row>
    <row r="116" spans="1:6" x14ac:dyDescent="0.55000000000000004">
      <c r="A116" s="123" t="str">
        <f>Prices!A6</f>
        <v>Corn ($/bu)</v>
      </c>
      <c r="B116" s="124">
        <f>Prices!B6</f>
        <v>3.7</v>
      </c>
      <c r="C116" s="254">
        <f>Prices!D6</f>
        <v>3.9000000000000004</v>
      </c>
      <c r="D116" s="254"/>
      <c r="E116" s="254">
        <f>Prices!G6</f>
        <v>3.45</v>
      </c>
      <c r="F116" s="268"/>
    </row>
    <row r="117" spans="1:6" x14ac:dyDescent="0.55000000000000004">
      <c r="A117" s="112" t="str">
        <f>Prices!A7</f>
        <v>Soybeans ($/bu)</v>
      </c>
      <c r="B117" s="44">
        <f>Prices!B7</f>
        <v>8.4700000000000006</v>
      </c>
      <c r="C117" s="251">
        <f>Prices!D7</f>
        <v>9.0500000000000007</v>
      </c>
      <c r="D117" s="251"/>
      <c r="E117" s="251">
        <f>Prices!G7</f>
        <v>8.6</v>
      </c>
      <c r="F117" s="267"/>
    </row>
    <row r="118" spans="1:6" x14ac:dyDescent="0.55000000000000004">
      <c r="A118" s="112" t="str">
        <f>Prices!A8</f>
        <v>Dairy Alfalfa ($/ton)</v>
      </c>
      <c r="B118" s="44">
        <f>Prices!B8</f>
        <v>210</v>
      </c>
      <c r="C118" s="251">
        <f>Prices!D8</f>
        <v>221.35135135135138</v>
      </c>
      <c r="D118" s="251"/>
      <c r="E118" s="251">
        <f>Prices!G8</f>
        <v>195.81081081081081</v>
      </c>
      <c r="F118" s="267"/>
    </row>
    <row r="119" spans="1:6" x14ac:dyDescent="0.55000000000000004">
      <c r="A119" s="112" t="str">
        <f>Prices!A9</f>
        <v>16% 100 pounds of feed ($)</v>
      </c>
      <c r="B119" s="44">
        <f>Prices!B9</f>
        <v>8.8039761904761917</v>
      </c>
      <c r="C119" s="251">
        <f>Prices!D9</f>
        <v>9.2961550836550852</v>
      </c>
      <c r="D119" s="253"/>
      <c r="E119" s="251">
        <f>Prices!G9</f>
        <v>8.3027525740025752</v>
      </c>
      <c r="F119" s="252"/>
    </row>
    <row r="120" spans="1:6" x14ac:dyDescent="0.55000000000000004">
      <c r="A120" s="112" t="str">
        <f>Prices!A10</f>
        <v>Milk:Feed Ratio</v>
      </c>
      <c r="B120" s="44">
        <f>Prices!B10</f>
        <v>2.0445307450367389</v>
      </c>
      <c r="C120" s="251">
        <f>Prices!D10</f>
        <v>1.7211416823426187</v>
      </c>
      <c r="D120" s="253"/>
      <c r="E120" s="251">
        <f>Prices!G10</f>
        <v>2.1860220256148475</v>
      </c>
      <c r="F120" s="252"/>
    </row>
    <row r="121" spans="1:6" x14ac:dyDescent="0.55000000000000004">
      <c r="A121" s="112" t="str">
        <f>Prices!A11</f>
        <v>Heifer Total Feed Cost ($)</v>
      </c>
      <c r="B121" s="44">
        <f>Prices!B11</f>
        <v>852</v>
      </c>
      <c r="C121" s="251">
        <f>Prices!D11</f>
        <v>869</v>
      </c>
      <c r="D121" s="251"/>
      <c r="E121" s="251">
        <f>Prices!G11</f>
        <v>826</v>
      </c>
      <c r="F121" s="267"/>
    </row>
    <row r="122" spans="1:6" x14ac:dyDescent="0.55000000000000004">
      <c r="A122" s="112"/>
      <c r="B122" s="44"/>
      <c r="C122" s="251"/>
      <c r="D122" s="253"/>
      <c r="E122" s="251"/>
      <c r="F122" s="252"/>
    </row>
    <row r="123" spans="1:6" x14ac:dyDescent="0.55000000000000004">
      <c r="A123" s="112" t="str">
        <f>Prices!A13</f>
        <v>Milk ($/cwt)</v>
      </c>
      <c r="B123" s="44">
        <f>Prices!B13</f>
        <v>18</v>
      </c>
      <c r="C123" s="251">
        <f>Prices!D13</f>
        <v>16</v>
      </c>
      <c r="D123" s="253"/>
      <c r="E123" s="251">
        <f>Prices!G13</f>
        <v>18.149999999999999</v>
      </c>
      <c r="F123" s="252"/>
    </row>
    <row r="124" spans="1:6" x14ac:dyDescent="0.55000000000000004">
      <c r="A124" s="112" t="str">
        <f>Prices!A14</f>
        <v>Replacement Heifers (per hd)</v>
      </c>
      <c r="B124" s="44">
        <f>Prices!B14</f>
        <v>1300</v>
      </c>
      <c r="C124" s="251">
        <f>Prices!D14</f>
        <v>1257</v>
      </c>
      <c r="D124" s="253"/>
      <c r="E124" s="251">
        <f>Prices!G14</f>
        <v>1278</v>
      </c>
      <c r="F124" s="252"/>
    </row>
    <row r="125" spans="1:6" x14ac:dyDescent="0.55000000000000004">
      <c r="A125" s="112" t="str">
        <f>Prices!A15</f>
        <v>Dairy Bull Calves (per hd)</v>
      </c>
      <c r="B125" s="44">
        <f>Prices!B15</f>
        <v>75</v>
      </c>
      <c r="C125" s="251">
        <f>Prices!D15</f>
        <v>73</v>
      </c>
      <c r="D125" s="253"/>
      <c r="E125" s="251">
        <f>Prices!G15</f>
        <v>74</v>
      </c>
      <c r="F125" s="252"/>
    </row>
    <row r="126" spans="1:6" x14ac:dyDescent="0.55000000000000004">
      <c r="A126" s="112" t="str">
        <f>Prices!A16</f>
        <v>Dairy Heifer Calves (per hd)</v>
      </c>
      <c r="B126" s="44">
        <f>Prices!B16</f>
        <v>75</v>
      </c>
      <c r="C126" s="251">
        <f>Prices!D16</f>
        <v>73</v>
      </c>
      <c r="D126" s="253"/>
      <c r="E126" s="251">
        <f>Prices!G16</f>
        <v>74</v>
      </c>
      <c r="F126" s="252"/>
    </row>
    <row r="127" spans="1:6" ht="18" customHeight="1" x14ac:dyDescent="0.55000000000000004">
      <c r="A127" s="112" t="str">
        <f>Prices!A17</f>
        <v>Dairy Cull cow (per cwt)</v>
      </c>
      <c r="B127" s="44">
        <f>Prices!B17</f>
        <v>38</v>
      </c>
      <c r="C127" s="251">
        <f>Prices!D17</f>
        <v>37</v>
      </c>
      <c r="D127" s="253"/>
      <c r="E127" s="251">
        <f>Prices!G17</f>
        <v>38</v>
      </c>
      <c r="F127" s="252"/>
    </row>
    <row r="128" spans="1:6" ht="15" customHeight="1" x14ac:dyDescent="0.55000000000000004">
      <c r="A128" s="112" t="str">
        <f>Prices!A18</f>
        <v>Cull Replacement Heifer (per cwt)</v>
      </c>
      <c r="B128" s="44">
        <f>Prices!B18</f>
        <v>107.88000000000001</v>
      </c>
      <c r="C128" s="251">
        <f>Prices!D18</f>
        <v>106</v>
      </c>
      <c r="D128" s="253"/>
      <c r="E128" s="251">
        <f>Prices!G18</f>
        <v>106</v>
      </c>
      <c r="F128" s="252"/>
    </row>
    <row r="129" spans="1:11" ht="13.5" customHeight="1" x14ac:dyDescent="0.55000000000000004">
      <c r="A129" s="113" t="str">
        <f>Prices!A19</f>
        <v>Cull Yearling Heifer (per cwt)</v>
      </c>
      <c r="B129" s="98">
        <f>Prices!B19</f>
        <v>115</v>
      </c>
      <c r="C129" s="256">
        <f>Prices!D19</f>
        <v>111</v>
      </c>
      <c r="D129" s="257"/>
      <c r="E129" s="256">
        <f>Prices!G19</f>
        <v>113</v>
      </c>
      <c r="F129" s="258"/>
    </row>
    <row r="134" spans="1:11" ht="15" customHeight="1" x14ac:dyDescent="0.55000000000000004">
      <c r="G134" s="102"/>
    </row>
    <row r="135" spans="1:11" ht="45.75" customHeight="1" x14ac:dyDescent="0.55000000000000004">
      <c r="B135" s="44"/>
      <c r="C135" s="140"/>
      <c r="D135" s="140"/>
      <c r="E135" s="140"/>
      <c r="F135" s="140"/>
      <c r="G135" s="102"/>
    </row>
    <row r="136" spans="1:11" ht="15" customHeight="1" x14ac:dyDescent="0.55000000000000004">
      <c r="B136" s="44"/>
      <c r="C136" s="140"/>
      <c r="D136" s="140"/>
      <c r="E136" s="140"/>
      <c r="F136" s="140"/>
      <c r="G136" s="102"/>
    </row>
    <row r="137" spans="1:11" ht="15" customHeight="1" x14ac:dyDescent="0.55000000000000004">
      <c r="B137" s="44"/>
      <c r="C137" s="140"/>
      <c r="D137" s="140"/>
      <c r="E137" s="140"/>
      <c r="F137" s="140"/>
      <c r="G137" s="102"/>
    </row>
    <row r="138" spans="1:11" x14ac:dyDescent="0.55000000000000004">
      <c r="B138" s="44"/>
      <c r="C138" s="140"/>
      <c r="D138" s="141"/>
      <c r="E138" s="140"/>
      <c r="F138" s="141"/>
    </row>
    <row r="139" spans="1:11" ht="15.6" x14ac:dyDescent="0.55000000000000004">
      <c r="A139" s="248" t="s">
        <v>34</v>
      </c>
      <c r="B139" s="248"/>
      <c r="C139" s="248"/>
      <c r="D139" s="248"/>
      <c r="E139" s="248"/>
      <c r="F139" s="248"/>
      <c r="G139" s="248"/>
      <c r="H139" s="248"/>
      <c r="I139" s="248"/>
      <c r="J139" s="248"/>
      <c r="K139" s="138"/>
    </row>
    <row r="140" spans="1:11" ht="15.6" x14ac:dyDescent="0.6">
      <c r="A140" s="40" t="s">
        <v>227</v>
      </c>
      <c r="B140" s="40"/>
      <c r="C140" s="40"/>
      <c r="D140" s="40"/>
      <c r="E140" s="40"/>
      <c r="F140" s="40"/>
      <c r="G140" s="40"/>
      <c r="H140" s="40"/>
      <c r="I140" s="40"/>
      <c r="J140" s="259" t="str">
        <f>J96</f>
        <v>Version- 12.2.2019</v>
      </c>
      <c r="K140" s="259"/>
    </row>
  </sheetData>
  <sheetProtection algorithmName="SHA-512" hashValue="tZwMbwIDIVc625zOAbzbr+YZy6SvtQRWBLokbHX1yA1kaRxL7Rj0NvTWB05pUnFqAVgFK06MXQQNHUEY2c4rGg==" saltValue="gdu5jwnjug4cNi8f8swTUA==" spinCount="100000" sheet="1" objects="1" scenarios="1"/>
  <mergeCells count="48">
    <mergeCell ref="C129:D129"/>
    <mergeCell ref="E129:F129"/>
    <mergeCell ref="A139:J139"/>
    <mergeCell ref="J140:K140"/>
    <mergeCell ref="C126:D126"/>
    <mergeCell ref="E126:F126"/>
    <mergeCell ref="C127:D127"/>
    <mergeCell ref="E127:F127"/>
    <mergeCell ref="C128:D128"/>
    <mergeCell ref="E128:F128"/>
    <mergeCell ref="C123:D123"/>
    <mergeCell ref="E123:F123"/>
    <mergeCell ref="C124:D124"/>
    <mergeCell ref="E124:F124"/>
    <mergeCell ref="C125:D125"/>
    <mergeCell ref="E125:F125"/>
    <mergeCell ref="C120:D120"/>
    <mergeCell ref="E120:F120"/>
    <mergeCell ref="C122:D122"/>
    <mergeCell ref="E122:F122"/>
    <mergeCell ref="C121:D121"/>
    <mergeCell ref="E121:F121"/>
    <mergeCell ref="C118:D118"/>
    <mergeCell ref="E118:F118"/>
    <mergeCell ref="C119:D119"/>
    <mergeCell ref="E119:F119"/>
    <mergeCell ref="C116:D116"/>
    <mergeCell ref="E116:F116"/>
    <mergeCell ref="C117:D117"/>
    <mergeCell ref="E117:F117"/>
    <mergeCell ref="C115:D115"/>
    <mergeCell ref="E115:F115"/>
    <mergeCell ref="C4:D4"/>
    <mergeCell ref="A48:J48"/>
    <mergeCell ref="J49:K49"/>
    <mergeCell ref="G51:J51"/>
    <mergeCell ref="A98:F98"/>
    <mergeCell ref="A51:F51"/>
    <mergeCell ref="A95:J95"/>
    <mergeCell ref="J96:K96"/>
    <mergeCell ref="G98:J98"/>
    <mergeCell ref="C5:D5"/>
    <mergeCell ref="G5:J5"/>
    <mergeCell ref="M1:U1"/>
    <mergeCell ref="G4:J4"/>
    <mergeCell ref="I1:K1"/>
    <mergeCell ref="D1:H1"/>
    <mergeCell ref="A1:C1"/>
  </mergeCells>
  <dataValidations count="1">
    <dataValidation type="list" showInputMessage="1" showErrorMessage="1" prompt="Select a price horizon to budget from" sqref="D1" xr:uid="{00000000-0002-0000-0300-000000000000}">
      <formula1>Prices</formula1>
    </dataValidation>
  </dataValidations>
  <printOptions horizontalCentered="1"/>
  <pageMargins left="0.25" right="0.25" top="0.75" bottom="0.5" header="0.3" footer="0"/>
  <pageSetup scale="87" orientation="portrait" horizontalDpi="4294967295" verticalDpi="4294967295" r:id="rId1"/>
  <headerFooter>
    <oddHeader>&amp;L&amp;"-,Bold"&amp;20FARM MANAGEMENT GUIDE</oddHeader>
  </headerFooter>
  <rowBreaks count="2" manualBreakCount="2">
    <brk id="49" max="10" man="1"/>
    <brk id="9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Button 3">
              <controlPr defaultSize="0" print="0" autoFill="0" autoPict="0" macro="[0]!PrintRRBudget">
                <anchor moveWithCells="1" sizeWithCells="1">
                  <from>
                    <xdr:col>12</xdr:col>
                    <xdr:colOff>316230</xdr:colOff>
                    <xdr:row>3</xdr:row>
                    <xdr:rowOff>163830</xdr:rowOff>
                  </from>
                  <to>
                    <xdr:col>16</xdr:col>
                    <xdr:colOff>316230</xdr:colOff>
                    <xdr:row>5</xdr:row>
                    <xdr:rowOff>152400</xdr:rowOff>
                  </to>
                </anchor>
              </controlPr>
            </control>
          </mc:Choice>
        </mc:AlternateContent>
        <mc:AlternateContent xmlns:mc="http://schemas.openxmlformats.org/markup-compatibility/2006">
          <mc:Choice Requires="x14">
            <control shapeId="10244" r:id="rId5" name="Button 4">
              <controlPr defaultSize="0" print="0" autoFill="0" autoPict="0" macro="[0]!PrintRRSheets">
                <anchor moveWithCells="1" sizeWithCells="1">
                  <from>
                    <xdr:col>12</xdr:col>
                    <xdr:colOff>285750</xdr:colOff>
                    <xdr:row>6</xdr:row>
                    <xdr:rowOff>190500</xdr:rowOff>
                  </from>
                  <to>
                    <xdr:col>16</xdr:col>
                    <xdr:colOff>316230</xdr:colOff>
                    <xdr:row>7</xdr:row>
                    <xdr:rowOff>201930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249977111117893"/>
  </sheetPr>
  <dimension ref="A1:T131"/>
  <sheetViews>
    <sheetView zoomScaleNormal="100" workbookViewId="0">
      <selection activeCell="O22" sqref="O22"/>
    </sheetView>
  </sheetViews>
  <sheetFormatPr defaultRowHeight="14.4" x14ac:dyDescent="0.55000000000000004"/>
  <cols>
    <col min="1" max="1" width="31.83984375" bestFit="1" customWidth="1"/>
    <col min="2" max="2" width="15.41796875" customWidth="1"/>
    <col min="3" max="3" width="11.68359375" customWidth="1"/>
    <col min="4" max="4" width="5" customWidth="1"/>
    <col min="5" max="5" width="12.41796875" customWidth="1"/>
    <col min="6" max="6" width="8.26171875" customWidth="1"/>
    <col min="7" max="7" width="2.578125" customWidth="1"/>
    <col min="8" max="8" width="8" customWidth="1"/>
    <col min="9" max="9" width="6.83984375" customWidth="1"/>
    <col min="10" max="10" width="16" customWidth="1"/>
    <col min="11" max="11" width="33.578125" hidden="1" customWidth="1"/>
    <col min="13" max="13" width="12.578125" bestFit="1" customWidth="1"/>
    <col min="15" max="15" width="10.578125" bestFit="1" customWidth="1"/>
  </cols>
  <sheetData>
    <row r="1" spans="1:20" ht="18.75" customHeight="1" x14ac:dyDescent="0.55000000000000004">
      <c r="A1" s="265" t="s">
        <v>198</v>
      </c>
      <c r="B1" s="265"/>
      <c r="C1" s="265"/>
      <c r="D1" s="264" t="s">
        <v>1</v>
      </c>
      <c r="E1" s="264"/>
      <c r="F1" s="264"/>
      <c r="G1" s="264"/>
      <c r="H1" s="263" t="str">
        <f>IF(D1=Prices!A1,Prices!B5,IF(D1=Prices!A2,Prices!D5,Prices!G5))</f>
        <v>(as of Dec. 2nd, 2019)</v>
      </c>
      <c r="I1" s="263"/>
      <c r="J1" s="263"/>
      <c r="K1" s="150" t="s">
        <v>208</v>
      </c>
      <c r="L1" s="260" t="s">
        <v>123</v>
      </c>
      <c r="M1" s="260"/>
      <c r="N1" s="260"/>
      <c r="O1" s="260"/>
      <c r="P1" s="260"/>
      <c r="Q1" s="260"/>
      <c r="R1" s="260"/>
      <c r="S1" s="260"/>
      <c r="T1" s="260"/>
    </row>
    <row r="2" spans="1:20" x14ac:dyDescent="0.55000000000000004">
      <c r="A2" s="1"/>
      <c r="B2" s="2"/>
      <c r="C2" s="3"/>
      <c r="D2" s="4"/>
      <c r="E2" s="3"/>
      <c r="F2" s="3"/>
      <c r="G2" s="4"/>
      <c r="H2" s="3"/>
      <c r="I2" s="4"/>
      <c r="J2" s="3"/>
      <c r="K2" s="150"/>
      <c r="M2" s="161"/>
      <c r="N2" s="161"/>
      <c r="O2" s="161"/>
      <c r="P2" s="161"/>
      <c r="Q2" s="161"/>
      <c r="R2" s="161"/>
      <c r="S2" s="161"/>
      <c r="T2" s="161"/>
    </row>
    <row r="3" spans="1:20" x14ac:dyDescent="0.55000000000000004">
      <c r="A3" s="5" t="s">
        <v>2</v>
      </c>
      <c r="D3" s="148"/>
      <c r="G3" s="148"/>
      <c r="I3" s="148"/>
      <c r="K3" s="150"/>
      <c r="M3" s="161"/>
      <c r="N3" s="161"/>
      <c r="O3" s="161"/>
      <c r="P3" s="161"/>
      <c r="Q3" s="161"/>
      <c r="R3" s="161"/>
      <c r="S3" s="161"/>
      <c r="T3" s="161"/>
    </row>
    <row r="4" spans="1:20" x14ac:dyDescent="0.55000000000000004">
      <c r="A4" t="s">
        <v>101</v>
      </c>
      <c r="B4" s="170">
        <v>0.05</v>
      </c>
      <c r="C4" s="261" t="s">
        <v>103</v>
      </c>
      <c r="D4" s="261"/>
      <c r="E4" s="170">
        <v>7.0000000000000007E-2</v>
      </c>
      <c r="F4" s="9"/>
      <c r="G4" s="148"/>
      <c r="H4" s="60"/>
      <c r="I4" s="60"/>
      <c r="J4" s="59"/>
      <c r="K4" s="150"/>
      <c r="M4" s="161"/>
      <c r="N4" s="161"/>
      <c r="O4" s="161"/>
      <c r="P4" s="161"/>
      <c r="Q4" s="161"/>
      <c r="R4" s="161"/>
      <c r="S4" s="161"/>
      <c r="T4" s="161"/>
    </row>
    <row r="5" spans="1:20" x14ac:dyDescent="0.55000000000000004">
      <c r="A5" t="s">
        <v>102</v>
      </c>
      <c r="B5" s="170">
        <v>0.02</v>
      </c>
      <c r="C5" s="148"/>
      <c r="D5" s="148"/>
      <c r="E5" s="58"/>
      <c r="F5" s="9"/>
      <c r="G5" s="148"/>
      <c r="H5" s="60"/>
      <c r="I5" s="60"/>
      <c r="J5" s="59"/>
      <c r="K5" s="150"/>
      <c r="M5" s="161"/>
      <c r="N5" s="161"/>
      <c r="O5" s="161"/>
      <c r="P5" s="161"/>
      <c r="Q5" s="161"/>
      <c r="R5" s="161"/>
      <c r="S5" s="161"/>
      <c r="T5" s="161"/>
    </row>
    <row r="6" spans="1:20" ht="22.5" customHeight="1" x14ac:dyDescent="0.55000000000000004">
      <c r="D6" s="148"/>
      <c r="G6" s="148"/>
      <c r="I6" s="148"/>
      <c r="K6" s="150"/>
      <c r="M6" s="161"/>
      <c r="N6" s="161"/>
      <c r="O6" s="161"/>
      <c r="P6" s="161"/>
      <c r="Q6" s="161"/>
      <c r="R6" s="161"/>
      <c r="S6" s="161"/>
      <c r="T6" s="161"/>
    </row>
    <row r="7" spans="1:20" x14ac:dyDescent="0.55000000000000004">
      <c r="A7" s="119" t="s">
        <v>4</v>
      </c>
      <c r="B7" s="119" t="s">
        <v>0</v>
      </c>
      <c r="C7" s="119" t="s">
        <v>5</v>
      </c>
      <c r="D7" s="119"/>
      <c r="E7" s="119" t="s">
        <v>6</v>
      </c>
      <c r="F7" s="119" t="s">
        <v>5</v>
      </c>
      <c r="G7" s="119"/>
      <c r="H7" s="119" t="s">
        <v>105</v>
      </c>
      <c r="I7" s="119"/>
      <c r="J7" s="119" t="s">
        <v>108</v>
      </c>
      <c r="K7" s="150"/>
      <c r="M7" s="161"/>
      <c r="N7" s="161"/>
      <c r="O7" s="161"/>
      <c r="P7" s="161"/>
      <c r="Q7" s="161"/>
      <c r="R7" s="161"/>
      <c r="S7" s="161"/>
      <c r="T7" s="161"/>
    </row>
    <row r="8" spans="1:20" x14ac:dyDescent="0.55000000000000004">
      <c r="A8" t="s">
        <v>104</v>
      </c>
      <c r="B8" s="172">
        <f>IF(D1=Prices!A1,Prices!B14,IF(D1=Prices!A2,Prices!D14,IF(D1=Prices!A3,Prices!G14,"")))</f>
        <v>1300</v>
      </c>
      <c r="C8" s="11" t="s">
        <v>43</v>
      </c>
      <c r="D8" s="148" t="s">
        <v>9</v>
      </c>
      <c r="E8" s="99"/>
      <c r="F8" s="11"/>
      <c r="G8" s="148" t="s">
        <v>9</v>
      </c>
      <c r="H8" s="13">
        <f>1-B4-B5-E4</f>
        <v>0.85999999999999988</v>
      </c>
      <c r="I8" s="14" t="s">
        <v>11</v>
      </c>
      <c r="J8" s="15">
        <f>B8*H8</f>
        <v>1117.9999999999998</v>
      </c>
      <c r="K8" s="150"/>
      <c r="M8" s="161"/>
      <c r="N8" s="161"/>
      <c r="O8" s="161"/>
      <c r="P8" s="161"/>
      <c r="Q8" s="161"/>
      <c r="R8" s="161"/>
      <c r="S8" s="161"/>
      <c r="T8" s="161"/>
    </row>
    <row r="9" spans="1:20" x14ac:dyDescent="0.55000000000000004">
      <c r="A9" t="s">
        <v>101</v>
      </c>
      <c r="B9" s="173">
        <f>IF(D1=Prices!A1,Prices!B18,IF(D1=Prices!A2,Prices!D18,IF(D1=Prices!A3,Prices!G18,"")))</f>
        <v>107.88000000000001</v>
      </c>
      <c r="C9" s="11" t="s">
        <v>8</v>
      </c>
      <c r="D9" s="148" t="s">
        <v>9</v>
      </c>
      <c r="E9" s="174">
        <v>1250</v>
      </c>
      <c r="F9" s="11" t="s">
        <v>10</v>
      </c>
      <c r="G9" s="148" t="s">
        <v>9</v>
      </c>
      <c r="H9" s="13">
        <f>B4</f>
        <v>0.05</v>
      </c>
      <c r="I9" s="14" t="s">
        <v>11</v>
      </c>
      <c r="J9" s="15">
        <f>(B9*(E9/100))*H9</f>
        <v>67.425000000000011</v>
      </c>
      <c r="K9" s="150"/>
      <c r="M9" s="161"/>
      <c r="N9" s="161"/>
      <c r="O9" s="161"/>
      <c r="P9" s="161"/>
      <c r="Q9" s="161"/>
      <c r="R9" s="161"/>
      <c r="S9" s="161"/>
      <c r="T9" s="161"/>
    </row>
    <row r="10" spans="1:20" x14ac:dyDescent="0.55000000000000004">
      <c r="A10" t="s">
        <v>102</v>
      </c>
      <c r="B10" s="173">
        <f>IF(D1=Prices!A1,Prices!B19,IF(D1=Prices!A2,Prices!D19,IF(D1=Prices!A3,Prices!G19,"")))</f>
        <v>115</v>
      </c>
      <c r="C10" s="11" t="s">
        <v>8</v>
      </c>
      <c r="D10" s="148" t="s">
        <v>9</v>
      </c>
      <c r="E10" s="174">
        <v>725</v>
      </c>
      <c r="F10" s="11" t="s">
        <v>10</v>
      </c>
      <c r="G10" s="148" t="s">
        <v>9</v>
      </c>
      <c r="H10" s="13">
        <f>B5</f>
        <v>0.02</v>
      </c>
      <c r="I10" s="14" t="s">
        <v>11</v>
      </c>
      <c r="J10" s="15">
        <f>B10*(E10/100)*H10</f>
        <v>16.675000000000001</v>
      </c>
      <c r="K10" s="150"/>
      <c r="M10" s="161"/>
      <c r="N10" s="161"/>
      <c r="O10" s="221"/>
      <c r="P10" s="161"/>
      <c r="Q10" s="161"/>
      <c r="R10" s="161"/>
      <c r="S10" s="161"/>
      <c r="T10" s="161"/>
    </row>
    <row r="11" spans="1:20" x14ac:dyDescent="0.55000000000000004">
      <c r="A11" t="s">
        <v>14</v>
      </c>
      <c r="B11" s="16"/>
      <c r="C11" s="11"/>
      <c r="D11" s="148"/>
      <c r="E11" s="18"/>
      <c r="F11" s="11"/>
      <c r="G11" s="148"/>
      <c r="H11" s="13"/>
      <c r="I11" s="14"/>
      <c r="J11" s="173">
        <v>35</v>
      </c>
      <c r="K11" s="150"/>
      <c r="M11" s="161"/>
      <c r="N11" s="161"/>
      <c r="O11" s="161"/>
      <c r="P11" s="161"/>
      <c r="Q11" s="161"/>
      <c r="R11" s="161"/>
      <c r="S11" s="161"/>
      <c r="T11" s="161"/>
    </row>
    <row r="12" spans="1:20" x14ac:dyDescent="0.55000000000000004">
      <c r="A12" t="s">
        <v>15</v>
      </c>
      <c r="B12" s="16"/>
      <c r="C12" s="11"/>
      <c r="D12" s="148"/>
      <c r="E12" s="18"/>
      <c r="F12" s="11"/>
      <c r="G12" s="148"/>
      <c r="H12" s="13"/>
      <c r="I12" s="14"/>
      <c r="J12" s="16"/>
      <c r="K12" s="150"/>
      <c r="M12" s="221"/>
      <c r="N12" s="161"/>
      <c r="O12" s="161"/>
      <c r="P12" s="161"/>
      <c r="Q12" s="161"/>
      <c r="R12" s="161"/>
      <c r="S12" s="161"/>
      <c r="T12" s="161"/>
    </row>
    <row r="13" spans="1:20" x14ac:dyDescent="0.55000000000000004">
      <c r="A13" t="s">
        <v>107</v>
      </c>
      <c r="B13" s="173">
        <f>IF(D1=Prices!A1,Prices!B16,IF(D1=Prices!A2,Prices!D16,IF(D1=Prices!A3,Prices!G16,"")))</f>
        <v>75</v>
      </c>
      <c r="C13" s="11" t="s">
        <v>43</v>
      </c>
      <c r="D13" s="148"/>
      <c r="E13" s="17"/>
      <c r="F13" s="11"/>
      <c r="G13" s="148"/>
      <c r="H13" s="13"/>
      <c r="I13" s="14"/>
      <c r="J13" s="15">
        <f>-(B13)</f>
        <v>-75</v>
      </c>
      <c r="K13" s="150"/>
      <c r="M13" s="161"/>
      <c r="N13" s="161"/>
      <c r="O13" s="161"/>
      <c r="P13" s="161"/>
      <c r="Q13" s="161"/>
      <c r="R13" s="161"/>
      <c r="S13" s="161"/>
      <c r="T13" s="161"/>
    </row>
    <row r="14" spans="1:20" x14ac:dyDescent="0.55000000000000004">
      <c r="A14" s="19" t="s">
        <v>16</v>
      </c>
      <c r="B14" s="20"/>
      <c r="C14" s="20"/>
      <c r="D14" s="146"/>
      <c r="E14" s="20"/>
      <c r="F14" s="20"/>
      <c r="G14" s="146"/>
      <c r="H14" s="20"/>
      <c r="I14" s="146"/>
      <c r="J14" s="22">
        <f>SUM(J8:J13)</f>
        <v>1162.0999999999997</v>
      </c>
      <c r="K14" s="150"/>
      <c r="M14" s="161"/>
      <c r="N14" s="161"/>
      <c r="O14" s="161"/>
      <c r="P14" s="161"/>
      <c r="Q14" s="161"/>
      <c r="R14" s="161"/>
      <c r="S14" s="161"/>
      <c r="T14" s="161"/>
    </row>
    <row r="15" spans="1:20" x14ac:dyDescent="0.55000000000000004">
      <c r="A15" s="23"/>
      <c r="D15" s="148"/>
      <c r="G15" s="148"/>
      <c r="I15" s="148"/>
      <c r="K15" s="150"/>
      <c r="M15" s="161"/>
      <c r="N15" s="161"/>
      <c r="O15" s="161"/>
      <c r="P15" s="161"/>
      <c r="Q15" s="161"/>
      <c r="R15" s="161"/>
      <c r="S15" s="161"/>
      <c r="T15" s="161"/>
    </row>
    <row r="16" spans="1:20" x14ac:dyDescent="0.55000000000000004">
      <c r="A16" s="119" t="s">
        <v>17</v>
      </c>
      <c r="B16" s="20"/>
      <c r="C16" s="20"/>
      <c r="D16" s="146"/>
      <c r="E16" s="20"/>
      <c r="F16" s="20"/>
      <c r="G16" s="146"/>
      <c r="H16" s="20"/>
      <c r="I16" s="146"/>
      <c r="J16" s="20"/>
      <c r="K16" s="150"/>
      <c r="M16" s="161"/>
      <c r="N16" s="161"/>
      <c r="O16" s="161"/>
      <c r="P16" s="161"/>
      <c r="Q16" s="161"/>
      <c r="R16" s="161"/>
      <c r="S16" s="161"/>
      <c r="T16" s="161"/>
    </row>
    <row r="17" spans="1:20" x14ac:dyDescent="0.55000000000000004">
      <c r="A17" s="116" t="s">
        <v>219</v>
      </c>
      <c r="B17" s="29"/>
      <c r="C17" s="29"/>
      <c r="D17" s="145"/>
      <c r="E17" s="29"/>
      <c r="F17" s="29"/>
      <c r="G17" s="145"/>
      <c r="H17" s="29"/>
      <c r="I17" s="145"/>
      <c r="J17" s="178">
        <f>IF(D1="Current Prices", Prices!B11,IF(D1="One Year Out Prices", Prices!D11, IF(D1="Five Years Out Prices", Prices!G11,"")))</f>
        <v>852</v>
      </c>
      <c r="K17" s="150"/>
      <c r="M17" s="161"/>
      <c r="N17" s="161"/>
      <c r="O17" s="161"/>
      <c r="P17" s="161"/>
      <c r="Q17" s="168"/>
      <c r="R17" s="161"/>
      <c r="S17" s="161"/>
      <c r="T17" s="161"/>
    </row>
    <row r="18" spans="1:20" x14ac:dyDescent="0.55000000000000004">
      <c r="A18" s="133" t="s">
        <v>157</v>
      </c>
      <c r="B18" s="175">
        <v>15</v>
      </c>
      <c r="C18" s="11" t="s">
        <v>18</v>
      </c>
      <c r="D18" s="148" t="s">
        <v>9</v>
      </c>
      <c r="E18" s="176">
        <v>15</v>
      </c>
      <c r="F18" s="11" t="s">
        <v>19</v>
      </c>
      <c r="G18" s="148"/>
      <c r="H18" s="13"/>
      <c r="I18" s="14"/>
      <c r="J18" s="24">
        <f>B18*E18</f>
        <v>225</v>
      </c>
      <c r="K18" s="150" t="s">
        <v>215</v>
      </c>
      <c r="M18" s="161"/>
      <c r="N18" s="161"/>
      <c r="O18" s="161"/>
      <c r="P18" s="161"/>
      <c r="Q18" s="168"/>
      <c r="R18" s="161"/>
      <c r="S18" s="161"/>
      <c r="T18" s="161"/>
    </row>
    <row r="19" spans="1:20" x14ac:dyDescent="0.55000000000000004">
      <c r="A19" s="133" t="s">
        <v>156</v>
      </c>
      <c r="B19" s="175">
        <v>25</v>
      </c>
      <c r="C19" s="11" t="s">
        <v>18</v>
      </c>
      <c r="D19" s="153" t="s">
        <v>9</v>
      </c>
      <c r="E19" s="176">
        <v>3</v>
      </c>
      <c r="F19" s="11" t="s">
        <v>19</v>
      </c>
      <c r="G19" s="153"/>
      <c r="H19" s="13"/>
      <c r="I19" s="14"/>
      <c r="J19" s="24">
        <f>B19*E19</f>
        <v>75</v>
      </c>
      <c r="K19" s="150" t="s">
        <v>186</v>
      </c>
      <c r="M19" s="161"/>
      <c r="N19" s="161"/>
      <c r="O19" s="161"/>
      <c r="P19" s="161"/>
      <c r="Q19" s="168"/>
      <c r="R19" s="161"/>
      <c r="S19" s="161"/>
      <c r="T19" s="161"/>
    </row>
    <row r="20" spans="1:20" x14ac:dyDescent="0.55000000000000004">
      <c r="A20" s="26" t="s">
        <v>191</v>
      </c>
      <c r="B20" s="16"/>
      <c r="C20" s="11"/>
      <c r="D20" s="148"/>
      <c r="E20" s="18"/>
      <c r="F20" s="11"/>
      <c r="G20" s="148"/>
      <c r="H20" s="13"/>
      <c r="I20" s="14"/>
      <c r="J20" s="173">
        <v>25</v>
      </c>
      <c r="K20" s="150" t="s">
        <v>192</v>
      </c>
      <c r="L20" s="15"/>
      <c r="M20" s="161"/>
      <c r="N20" s="161"/>
      <c r="O20" s="161"/>
      <c r="P20" s="161"/>
      <c r="Q20" s="168"/>
      <c r="R20" s="161"/>
      <c r="S20" s="161"/>
      <c r="T20" s="161"/>
    </row>
    <row r="21" spans="1:20" x14ac:dyDescent="0.55000000000000004">
      <c r="A21" t="s">
        <v>132</v>
      </c>
      <c r="B21" s="16"/>
      <c r="C21" s="11"/>
      <c r="D21" s="148"/>
      <c r="E21" s="18"/>
      <c r="F21" s="11"/>
      <c r="G21" s="148"/>
      <c r="H21" s="13"/>
      <c r="I21" s="14"/>
      <c r="J21" s="173">
        <v>48</v>
      </c>
      <c r="K21" s="150" t="s">
        <v>192</v>
      </c>
      <c r="M21" s="161"/>
      <c r="N21" s="161"/>
      <c r="O21" s="161"/>
      <c r="P21" s="161"/>
      <c r="Q21" s="168"/>
      <c r="R21" s="161"/>
      <c r="S21" s="161"/>
      <c r="T21" s="161"/>
    </row>
    <row r="22" spans="1:20" x14ac:dyDescent="0.55000000000000004">
      <c r="A22" t="s">
        <v>181</v>
      </c>
      <c r="B22" s="16"/>
      <c r="C22" s="11"/>
      <c r="D22" s="148"/>
      <c r="E22" s="18"/>
      <c r="F22" s="11"/>
      <c r="G22" s="148"/>
      <c r="H22" s="13"/>
      <c r="I22" s="14"/>
      <c r="J22" s="173">
        <v>26</v>
      </c>
      <c r="K22" s="150" t="s">
        <v>192</v>
      </c>
      <c r="M22" s="161"/>
      <c r="N22" s="161"/>
      <c r="O22" s="161"/>
      <c r="P22" s="161"/>
      <c r="Q22" s="168"/>
      <c r="R22" s="161"/>
      <c r="S22" s="161"/>
      <c r="T22" s="161"/>
    </row>
    <row r="23" spans="1:20" x14ac:dyDescent="0.55000000000000004">
      <c r="A23" s="26" t="s">
        <v>183</v>
      </c>
      <c r="B23" s="16"/>
      <c r="C23" s="11"/>
      <c r="D23" s="148"/>
      <c r="E23" s="18"/>
      <c r="F23" s="11"/>
      <c r="G23" s="148"/>
      <c r="H23" s="13"/>
      <c r="I23" s="14"/>
      <c r="J23" s="173">
        <v>25.5</v>
      </c>
      <c r="K23" s="150" t="s">
        <v>193</v>
      </c>
      <c r="M23" s="161"/>
      <c r="N23" s="161"/>
      <c r="O23" s="161"/>
      <c r="P23" s="161"/>
      <c r="Q23" s="168"/>
      <c r="R23" s="161"/>
      <c r="S23" s="161"/>
      <c r="T23" s="161"/>
    </row>
    <row r="24" spans="1:20" x14ac:dyDescent="0.55000000000000004">
      <c r="A24" t="s">
        <v>21</v>
      </c>
      <c r="B24" s="16"/>
      <c r="C24" s="11"/>
      <c r="D24" s="148"/>
      <c r="E24" s="18"/>
      <c r="F24" s="11"/>
      <c r="G24" s="148"/>
      <c r="H24" s="13"/>
      <c r="I24" s="14"/>
      <c r="J24" s="173">
        <v>49</v>
      </c>
      <c r="K24" s="150" t="s">
        <v>192</v>
      </c>
      <c r="M24" s="161"/>
      <c r="N24" s="161"/>
      <c r="O24" s="161"/>
      <c r="P24" s="161"/>
      <c r="Q24" s="168"/>
      <c r="R24" s="161"/>
      <c r="S24" s="161"/>
      <c r="T24" s="161"/>
    </row>
    <row r="25" spans="1:20" x14ac:dyDescent="0.55000000000000004">
      <c r="A25" t="s">
        <v>131</v>
      </c>
      <c r="B25" s="16"/>
      <c r="C25" s="11"/>
      <c r="D25" s="148"/>
      <c r="E25" s="18"/>
      <c r="F25" s="11"/>
      <c r="G25" s="148"/>
      <c r="H25" s="13"/>
      <c r="I25" s="14"/>
      <c r="J25" s="173">
        <v>41</v>
      </c>
      <c r="K25" s="150" t="s">
        <v>216</v>
      </c>
      <c r="M25" s="161"/>
      <c r="N25" s="161"/>
      <c r="O25" s="161"/>
      <c r="P25" s="161"/>
      <c r="Q25" s="168"/>
      <c r="R25" s="161"/>
      <c r="S25" s="161"/>
      <c r="T25" s="161"/>
    </row>
    <row r="26" spans="1:20" x14ac:dyDescent="0.55000000000000004">
      <c r="A26" t="s">
        <v>200</v>
      </c>
      <c r="B26" s="16"/>
      <c r="C26" s="11"/>
      <c r="D26" s="153"/>
      <c r="E26" s="18"/>
      <c r="F26" s="11"/>
      <c r="G26" s="153"/>
      <c r="H26" s="13"/>
      <c r="I26" s="14"/>
      <c r="J26" s="173">
        <v>10</v>
      </c>
      <c r="K26" s="150" t="s">
        <v>218</v>
      </c>
      <c r="M26" s="161"/>
      <c r="N26" s="161"/>
      <c r="O26" s="161"/>
      <c r="P26" s="161"/>
      <c r="Q26" s="168"/>
      <c r="R26" s="161"/>
      <c r="S26" s="161"/>
      <c r="T26" s="161"/>
    </row>
    <row r="27" spans="1:20" x14ac:dyDescent="0.55000000000000004">
      <c r="A27" t="s">
        <v>207</v>
      </c>
      <c r="B27" s="16"/>
      <c r="C27" s="11"/>
      <c r="D27" s="153"/>
      <c r="E27" s="18"/>
      <c r="F27" s="11"/>
      <c r="G27" s="153"/>
      <c r="H27" s="13"/>
      <c r="I27" s="14"/>
      <c r="J27" s="173">
        <v>33</v>
      </c>
      <c r="K27" s="150" t="s">
        <v>193</v>
      </c>
      <c r="M27" s="161"/>
      <c r="N27" s="161"/>
      <c r="O27" s="161"/>
      <c r="P27" s="161"/>
      <c r="Q27" s="168"/>
      <c r="R27" s="161"/>
      <c r="S27" s="161"/>
      <c r="T27" s="161"/>
    </row>
    <row r="28" spans="1:20" x14ac:dyDescent="0.55000000000000004">
      <c r="A28" t="s">
        <v>217</v>
      </c>
      <c r="B28" s="16"/>
      <c r="C28" s="11"/>
      <c r="D28" s="148"/>
      <c r="E28" s="18"/>
      <c r="F28" s="11"/>
      <c r="G28" s="148"/>
      <c r="H28" s="13"/>
      <c r="I28" s="14"/>
      <c r="J28" s="173">
        <v>44</v>
      </c>
      <c r="K28" s="150" t="s">
        <v>193</v>
      </c>
      <c r="M28" s="161"/>
      <c r="N28" s="161"/>
      <c r="O28" s="161"/>
      <c r="P28" s="161"/>
      <c r="Q28" s="168"/>
      <c r="R28" s="161"/>
      <c r="S28" s="161"/>
      <c r="T28" s="161"/>
    </row>
    <row r="29" spans="1:20" x14ac:dyDescent="0.55000000000000004">
      <c r="A29" s="23" t="s">
        <v>23</v>
      </c>
      <c r="D29" s="148"/>
      <c r="G29" s="148"/>
      <c r="I29" s="148"/>
      <c r="J29" s="28">
        <f>SUM(J17:J28)</f>
        <v>1453.5</v>
      </c>
      <c r="K29" s="150"/>
      <c r="M29" s="161"/>
      <c r="N29" s="161"/>
      <c r="O29" s="161"/>
      <c r="P29" s="161"/>
      <c r="Q29" s="168"/>
      <c r="R29" s="161"/>
      <c r="S29" s="161"/>
      <c r="T29" s="161"/>
    </row>
    <row r="30" spans="1:20" x14ac:dyDescent="0.55000000000000004">
      <c r="D30" s="148"/>
      <c r="G30" s="148"/>
      <c r="I30" s="148"/>
      <c r="K30" s="150"/>
      <c r="M30" s="161"/>
      <c r="N30" s="161"/>
      <c r="O30" s="161"/>
      <c r="P30" s="161"/>
      <c r="Q30" s="168"/>
      <c r="R30" s="161"/>
      <c r="S30" s="161"/>
      <c r="T30" s="161"/>
    </row>
    <row r="31" spans="1:20" x14ac:dyDescent="0.55000000000000004">
      <c r="A31" s="119" t="s">
        <v>24</v>
      </c>
      <c r="B31" s="20"/>
      <c r="C31" s="20"/>
      <c r="D31" s="146"/>
      <c r="E31" s="20"/>
      <c r="F31" s="20"/>
      <c r="G31" s="146"/>
      <c r="H31" s="20"/>
      <c r="I31" s="146"/>
      <c r="J31" s="20"/>
      <c r="K31" s="150"/>
      <c r="M31" s="161"/>
      <c r="N31" s="161"/>
      <c r="O31" s="161"/>
      <c r="P31" s="161"/>
      <c r="Q31" s="168"/>
      <c r="R31" s="161"/>
      <c r="S31" s="161"/>
      <c r="T31" s="161"/>
    </row>
    <row r="32" spans="1:20" x14ac:dyDescent="0.55000000000000004">
      <c r="A32" t="s">
        <v>25</v>
      </c>
      <c r="D32" s="148"/>
      <c r="G32" s="148"/>
      <c r="I32" s="148"/>
      <c r="J32" s="173">
        <v>74</v>
      </c>
      <c r="K32" s="150" t="s">
        <v>194</v>
      </c>
      <c r="M32" s="161"/>
      <c r="N32" s="161"/>
      <c r="O32" s="161"/>
      <c r="P32" s="161"/>
      <c r="Q32" s="168"/>
      <c r="R32" s="161"/>
      <c r="S32" s="161"/>
      <c r="T32" s="161"/>
    </row>
    <row r="33" spans="1:20" x14ac:dyDescent="0.55000000000000004">
      <c r="A33" s="3" t="s">
        <v>166</v>
      </c>
      <c r="D33" s="148"/>
      <c r="G33" s="148"/>
      <c r="I33" s="148"/>
      <c r="J33" s="173">
        <v>18</v>
      </c>
      <c r="K33" s="150" t="s">
        <v>194</v>
      </c>
      <c r="M33" s="161"/>
      <c r="N33" s="161"/>
      <c r="O33" s="161"/>
      <c r="P33" s="161"/>
      <c r="Q33" s="168"/>
      <c r="R33" s="161"/>
      <c r="S33" s="161"/>
      <c r="T33" s="161"/>
    </row>
    <row r="34" spans="1:20" x14ac:dyDescent="0.55000000000000004">
      <c r="A34" s="29" t="s">
        <v>28</v>
      </c>
      <c r="B34" s="29"/>
      <c r="C34" s="29"/>
      <c r="D34" s="145"/>
      <c r="E34" s="29"/>
      <c r="F34" s="29"/>
      <c r="G34" s="145"/>
      <c r="H34" s="29"/>
      <c r="I34" s="145"/>
      <c r="J34" s="177">
        <v>84</v>
      </c>
      <c r="K34" s="150" t="s">
        <v>222</v>
      </c>
      <c r="L34" s="15"/>
      <c r="M34" s="161"/>
      <c r="N34" s="221"/>
      <c r="O34" s="161"/>
      <c r="P34" s="161"/>
      <c r="Q34" s="168"/>
      <c r="R34" s="161"/>
      <c r="S34" s="161"/>
      <c r="T34" s="161"/>
    </row>
    <row r="35" spans="1:20" x14ac:dyDescent="0.55000000000000004">
      <c r="A35" s="31" t="s">
        <v>29</v>
      </c>
      <c r="B35" s="29"/>
      <c r="C35" s="29"/>
      <c r="D35" s="145"/>
      <c r="E35" s="29"/>
      <c r="F35" s="29"/>
      <c r="G35" s="145"/>
      <c r="H35" s="29"/>
      <c r="I35" s="145"/>
      <c r="J35" s="177">
        <v>43</v>
      </c>
      <c r="K35" s="150" t="s">
        <v>195</v>
      </c>
      <c r="M35" s="161"/>
      <c r="N35" s="161"/>
      <c r="O35" s="161"/>
      <c r="P35" s="161"/>
      <c r="Q35" s="168"/>
      <c r="R35" s="161"/>
      <c r="S35" s="161"/>
      <c r="T35" s="161"/>
    </row>
    <row r="36" spans="1:20" x14ac:dyDescent="0.55000000000000004">
      <c r="A36" s="32" t="s">
        <v>30</v>
      </c>
      <c r="B36" s="33"/>
      <c r="C36" s="33"/>
      <c r="D36" s="147"/>
      <c r="E36" s="33"/>
      <c r="F36" s="33"/>
      <c r="G36" s="147"/>
      <c r="H36" s="33"/>
      <c r="I36" s="147"/>
      <c r="J36" s="35">
        <f>SUM(J32:J35)</f>
        <v>219</v>
      </c>
      <c r="K36" s="150"/>
      <c r="M36" s="161"/>
      <c r="N36" s="161"/>
      <c r="O36" s="161"/>
      <c r="P36" s="161"/>
      <c r="Q36" s="168"/>
      <c r="R36" s="161"/>
      <c r="S36" s="161"/>
      <c r="T36" s="161"/>
    </row>
    <row r="37" spans="1:20" x14ac:dyDescent="0.55000000000000004">
      <c r="B37" s="16"/>
      <c r="C37" s="11"/>
      <c r="D37" s="148"/>
      <c r="E37" s="18"/>
      <c r="F37" s="11"/>
      <c r="G37" s="148"/>
      <c r="H37" s="13"/>
      <c r="I37" s="14"/>
      <c r="J37" s="16"/>
      <c r="K37" s="150"/>
      <c r="M37" s="221"/>
      <c r="N37" s="161"/>
      <c r="O37" s="161"/>
      <c r="P37" s="161"/>
      <c r="Q37" s="168"/>
      <c r="R37" s="161"/>
      <c r="S37" s="161"/>
      <c r="T37" s="161"/>
    </row>
    <row r="38" spans="1:20" x14ac:dyDescent="0.55000000000000004">
      <c r="A38" s="119" t="s">
        <v>31</v>
      </c>
      <c r="B38" s="20"/>
      <c r="C38" s="20"/>
      <c r="D38" s="146"/>
      <c r="E38" s="20"/>
      <c r="F38" s="20"/>
      <c r="G38" s="146"/>
      <c r="H38" s="20"/>
      <c r="I38" s="146"/>
      <c r="J38" s="22">
        <f>J29+J36</f>
        <v>1672.5</v>
      </c>
      <c r="K38" s="150"/>
      <c r="M38" s="221"/>
      <c r="N38" s="161"/>
      <c r="O38" s="161"/>
      <c r="P38" s="161"/>
      <c r="Q38" s="168"/>
      <c r="R38" s="161"/>
      <c r="S38" s="161"/>
      <c r="T38" s="161"/>
    </row>
    <row r="39" spans="1:20" x14ac:dyDescent="0.55000000000000004">
      <c r="D39" s="148"/>
      <c r="G39" s="148"/>
      <c r="I39" s="148"/>
      <c r="K39" s="150"/>
      <c r="M39" s="221"/>
      <c r="N39" s="161"/>
      <c r="O39" s="161"/>
      <c r="P39" s="161"/>
      <c r="Q39" s="161"/>
      <c r="R39" s="161"/>
      <c r="S39" s="161"/>
      <c r="T39" s="161"/>
    </row>
    <row r="40" spans="1:20" x14ac:dyDescent="0.55000000000000004">
      <c r="A40" t="s">
        <v>32</v>
      </c>
      <c r="D40" s="148"/>
      <c r="G40" s="148"/>
      <c r="I40" s="148"/>
      <c r="J40" s="15">
        <f>J14-J29</f>
        <v>-291.40000000000032</v>
      </c>
      <c r="M40" s="161"/>
      <c r="N40" s="161"/>
      <c r="O40" s="161"/>
      <c r="P40" s="161"/>
      <c r="Q40" s="161"/>
      <c r="R40" s="161"/>
      <c r="S40" s="161"/>
      <c r="T40" s="161"/>
    </row>
    <row r="41" spans="1:20" ht="14.7" thickBot="1" x14ac:dyDescent="0.6">
      <c r="A41" s="36" t="s">
        <v>33</v>
      </c>
      <c r="D41" s="148"/>
      <c r="G41" s="148"/>
      <c r="I41" s="148"/>
      <c r="J41" s="37">
        <f>J14-J38</f>
        <v>-510.40000000000032</v>
      </c>
      <c r="M41" s="161"/>
      <c r="N41" s="161"/>
      <c r="O41" s="161"/>
      <c r="P41" s="161"/>
      <c r="Q41" s="161"/>
      <c r="R41" s="161"/>
      <c r="S41" s="161"/>
      <c r="T41" s="161"/>
    </row>
    <row r="42" spans="1:20" ht="137.25" customHeight="1" thickTop="1" x14ac:dyDescent="0.55000000000000004">
      <c r="M42" s="161"/>
      <c r="N42" s="161"/>
      <c r="O42" s="161"/>
      <c r="P42" s="161"/>
      <c r="Q42" s="161"/>
      <c r="R42" s="161"/>
      <c r="S42" s="161"/>
      <c r="T42" s="161"/>
    </row>
    <row r="43" spans="1:20" x14ac:dyDescent="0.55000000000000004">
      <c r="A43" s="248" t="s">
        <v>34</v>
      </c>
      <c r="B43" s="249"/>
      <c r="C43" s="249"/>
      <c r="D43" s="249"/>
      <c r="E43" s="249"/>
      <c r="F43" s="249"/>
      <c r="G43" s="249"/>
      <c r="H43" s="249"/>
      <c r="I43" s="249"/>
      <c r="J43" s="249"/>
      <c r="M43" s="161"/>
      <c r="N43" s="161"/>
      <c r="O43" s="161"/>
      <c r="P43" s="161"/>
      <c r="Q43" s="161"/>
      <c r="R43" s="161"/>
      <c r="S43" s="161"/>
      <c r="T43" s="161"/>
    </row>
    <row r="44" spans="1:20" ht="15.6" x14ac:dyDescent="0.6">
      <c r="A44" s="40" t="s">
        <v>111</v>
      </c>
      <c r="B44" s="40"/>
      <c r="C44" s="40"/>
      <c r="D44" s="40"/>
      <c r="E44" s="40"/>
      <c r="F44" s="40"/>
      <c r="G44" s="40"/>
      <c r="H44" s="40"/>
      <c r="I44" s="259" t="str">
        <f>Introduction!L8</f>
        <v>Version- 12.2.2019</v>
      </c>
      <c r="J44" s="259"/>
      <c r="M44" s="161"/>
      <c r="N44" s="161"/>
      <c r="O44" s="161"/>
      <c r="P44" s="161"/>
      <c r="Q44" s="161"/>
      <c r="R44" s="161"/>
      <c r="S44" s="161"/>
      <c r="T44" s="161"/>
    </row>
    <row r="45" spans="1:20" x14ac:dyDescent="0.55000000000000004">
      <c r="B45" s="41"/>
    </row>
    <row r="46" spans="1:20" ht="18.600000000000001" thickBot="1" x14ac:dyDescent="0.75">
      <c r="A46" s="250" t="s">
        <v>198</v>
      </c>
      <c r="B46" s="269"/>
      <c r="C46" s="270"/>
      <c r="D46" s="270"/>
      <c r="E46" s="270"/>
      <c r="F46" s="270"/>
      <c r="G46" s="247"/>
      <c r="H46" s="247"/>
      <c r="I46" s="247"/>
      <c r="J46" s="247"/>
    </row>
    <row r="89" spans="1:10" ht="135" customHeight="1" x14ac:dyDescent="0.55000000000000004">
      <c r="A89" s="29"/>
      <c r="B89" s="29"/>
      <c r="C89" s="29"/>
      <c r="D89" s="29"/>
      <c r="E89" s="29"/>
      <c r="F89" s="29"/>
      <c r="G89" s="29"/>
      <c r="H89" s="29"/>
      <c r="I89" s="29"/>
      <c r="J89" s="29"/>
    </row>
    <row r="90" spans="1:10" x14ac:dyDescent="0.55000000000000004">
      <c r="A90" s="248" t="s">
        <v>34</v>
      </c>
      <c r="B90" s="249"/>
      <c r="C90" s="249"/>
      <c r="D90" s="249"/>
      <c r="E90" s="249"/>
      <c r="F90" s="249"/>
      <c r="G90" s="249"/>
      <c r="H90" s="249"/>
      <c r="I90" s="249"/>
      <c r="J90" s="249"/>
    </row>
    <row r="91" spans="1:10" ht="15.6" x14ac:dyDescent="0.6">
      <c r="A91" s="40" t="s">
        <v>112</v>
      </c>
      <c r="B91" s="40"/>
      <c r="C91" s="40"/>
      <c r="D91" s="40"/>
      <c r="E91" s="40"/>
      <c r="F91" s="40"/>
      <c r="G91" s="40"/>
      <c r="H91" s="40"/>
      <c r="I91" s="259" t="str">
        <f>I44</f>
        <v>Version- 12.2.2019</v>
      </c>
      <c r="J91" s="259"/>
    </row>
    <row r="92" spans="1:10" ht="15.6" x14ac:dyDescent="0.6">
      <c r="A92" s="42"/>
      <c r="B92" s="42"/>
      <c r="C92" s="42"/>
      <c r="D92" s="42"/>
      <c r="E92" s="42"/>
      <c r="F92" s="42"/>
      <c r="G92" s="42"/>
      <c r="H92" s="42"/>
      <c r="I92" s="42"/>
      <c r="J92" s="42"/>
    </row>
    <row r="93" spans="1:10" ht="18.600000000000001" thickBot="1" x14ac:dyDescent="0.75">
      <c r="A93" s="250" t="s">
        <v>198</v>
      </c>
      <c r="B93" s="269"/>
      <c r="C93" s="270"/>
      <c r="D93" s="270"/>
      <c r="E93" s="270"/>
      <c r="F93" s="270"/>
      <c r="G93" s="247"/>
      <c r="H93" s="247"/>
      <c r="I93" s="247"/>
      <c r="J93" s="247"/>
    </row>
    <row r="94" spans="1:10" ht="15.6" x14ac:dyDescent="0.6">
      <c r="A94" s="43" t="s">
        <v>36</v>
      </c>
    </row>
    <row r="96" spans="1:10" ht="20.7" thickBot="1" x14ac:dyDescent="0.8">
      <c r="A96" s="271" t="s">
        <v>110</v>
      </c>
      <c r="B96" s="272"/>
      <c r="C96" s="272"/>
      <c r="D96" s="272"/>
      <c r="E96" s="272"/>
      <c r="F96" s="273"/>
    </row>
    <row r="97" spans="1:9" ht="21" customHeight="1" x14ac:dyDescent="0.55000000000000004">
      <c r="A97" s="111"/>
      <c r="B97" s="149" t="s">
        <v>37</v>
      </c>
      <c r="C97" s="274" t="s">
        <v>38</v>
      </c>
      <c r="D97" s="274"/>
      <c r="E97" s="275" t="s">
        <v>39</v>
      </c>
      <c r="F97" s="276"/>
      <c r="G97" s="101"/>
      <c r="H97" s="101"/>
      <c r="I97" s="101"/>
    </row>
    <row r="98" spans="1:9" ht="14.25" customHeight="1" x14ac:dyDescent="0.55000000000000004">
      <c r="A98" s="123" t="str">
        <f>Prices!A6</f>
        <v>Corn ($/bu)</v>
      </c>
      <c r="B98" s="124">
        <f>Prices!B6</f>
        <v>3.7</v>
      </c>
      <c r="C98" s="254">
        <f>Prices!D6</f>
        <v>3.9000000000000004</v>
      </c>
      <c r="D98" s="266"/>
      <c r="E98" s="254">
        <f>Prices!G6</f>
        <v>3.45</v>
      </c>
      <c r="F98" s="255"/>
      <c r="G98" s="148"/>
      <c r="H98" s="148"/>
    </row>
    <row r="99" spans="1:9" ht="14.25" customHeight="1" x14ac:dyDescent="0.55000000000000004">
      <c r="A99" s="112" t="str">
        <f>Prices!A7</f>
        <v>Soybeans ($/bu)</v>
      </c>
      <c r="B99" s="44">
        <f>Prices!B7</f>
        <v>8.4700000000000006</v>
      </c>
      <c r="C99" s="251">
        <f>Prices!D7</f>
        <v>9.0500000000000007</v>
      </c>
      <c r="D99" s="253"/>
      <c r="E99" s="251">
        <f>Prices!G7</f>
        <v>8.6</v>
      </c>
      <c r="F99" s="252"/>
    </row>
    <row r="100" spans="1:9" ht="14.25" customHeight="1" x14ac:dyDescent="0.55000000000000004">
      <c r="A100" s="112" t="str">
        <f>Prices!A8</f>
        <v>Dairy Alfalfa ($/ton)</v>
      </c>
      <c r="B100" s="44">
        <f>Prices!B8</f>
        <v>210</v>
      </c>
      <c r="C100" s="251">
        <f>Prices!D8</f>
        <v>221.35135135135138</v>
      </c>
      <c r="D100" s="253"/>
      <c r="E100" s="251">
        <f>Prices!G8</f>
        <v>195.81081081081081</v>
      </c>
      <c r="F100" s="252"/>
    </row>
    <row r="101" spans="1:9" ht="14.25" customHeight="1" x14ac:dyDescent="0.55000000000000004">
      <c r="A101" s="112" t="str">
        <f>Prices!A9</f>
        <v>16% 100 pounds of feed ($)</v>
      </c>
      <c r="B101" s="44">
        <f>Prices!B9</f>
        <v>8.8039761904761917</v>
      </c>
      <c r="C101" s="251">
        <f>Prices!D9</f>
        <v>9.2961550836550852</v>
      </c>
      <c r="D101" s="253"/>
      <c r="E101" s="251">
        <f>Prices!G9</f>
        <v>8.3027525740025752</v>
      </c>
      <c r="F101" s="252"/>
    </row>
    <row r="102" spans="1:9" ht="14.25" customHeight="1" x14ac:dyDescent="0.55000000000000004">
      <c r="A102" s="112" t="str">
        <f>Prices!A10</f>
        <v>Milk:Feed Ratio</v>
      </c>
      <c r="B102" s="44">
        <f>Prices!B10</f>
        <v>2.0445307450367389</v>
      </c>
      <c r="C102" s="251">
        <f>Prices!D10</f>
        <v>1.7211416823426187</v>
      </c>
      <c r="D102" s="253"/>
      <c r="E102" s="251">
        <f>Prices!G10</f>
        <v>2.1860220256148475</v>
      </c>
      <c r="F102" s="252"/>
    </row>
    <row r="103" spans="1:9" ht="14.25" customHeight="1" x14ac:dyDescent="0.55000000000000004">
      <c r="A103" s="112" t="str">
        <f>Prices!A11</f>
        <v>Heifer Total Feed Cost ($)</v>
      </c>
      <c r="B103" s="44">
        <f>Prices!B11</f>
        <v>852</v>
      </c>
      <c r="C103" s="251">
        <f>Prices!D11</f>
        <v>869</v>
      </c>
      <c r="D103" s="253"/>
      <c r="E103" s="251">
        <f>Prices!G11</f>
        <v>826</v>
      </c>
      <c r="F103" s="252"/>
    </row>
    <row r="104" spans="1:9" ht="14.25" customHeight="1" x14ac:dyDescent="0.55000000000000004">
      <c r="A104" s="112"/>
      <c r="B104" s="44"/>
      <c r="C104" s="251"/>
      <c r="D104" s="253"/>
      <c r="E104" s="251"/>
      <c r="F104" s="252"/>
    </row>
    <row r="105" spans="1:9" ht="14.25" customHeight="1" x14ac:dyDescent="0.55000000000000004">
      <c r="A105" s="112" t="str">
        <f>Prices!A13</f>
        <v>Milk ($/cwt)</v>
      </c>
      <c r="B105" s="44">
        <f>Prices!B13</f>
        <v>18</v>
      </c>
      <c r="C105" s="251">
        <f>Prices!D13</f>
        <v>16</v>
      </c>
      <c r="D105" s="253"/>
      <c r="E105" s="251">
        <f>Prices!G13</f>
        <v>18.149999999999999</v>
      </c>
      <c r="F105" s="252"/>
    </row>
    <row r="106" spans="1:9" ht="14.25" customHeight="1" x14ac:dyDescent="0.55000000000000004">
      <c r="A106" s="112" t="str">
        <f>Prices!A14</f>
        <v>Replacement Heifers (per hd)</v>
      </c>
      <c r="B106" s="44">
        <f>Prices!B14</f>
        <v>1300</v>
      </c>
      <c r="C106" s="251">
        <f>Prices!D14</f>
        <v>1257</v>
      </c>
      <c r="D106" s="253"/>
      <c r="E106" s="251">
        <f>Prices!G14</f>
        <v>1278</v>
      </c>
      <c r="F106" s="252"/>
    </row>
    <row r="107" spans="1:9" ht="14.25" customHeight="1" x14ac:dyDescent="0.55000000000000004">
      <c r="A107" s="112" t="str">
        <f>Prices!A15</f>
        <v>Dairy Bull Calves (per hd)</v>
      </c>
      <c r="B107" s="44">
        <f>Prices!B15</f>
        <v>75</v>
      </c>
      <c r="C107" s="251">
        <f>Prices!D15</f>
        <v>73</v>
      </c>
      <c r="D107" s="253"/>
      <c r="E107" s="251">
        <f>Prices!G15</f>
        <v>74</v>
      </c>
      <c r="F107" s="252"/>
    </row>
    <row r="108" spans="1:9" ht="14.25" customHeight="1" x14ac:dyDescent="0.55000000000000004">
      <c r="A108" s="112" t="str">
        <f>Prices!A16</f>
        <v>Dairy Heifer Calves (per hd)</v>
      </c>
      <c r="B108" s="44">
        <f>Prices!B16</f>
        <v>75</v>
      </c>
      <c r="C108" s="251">
        <f>Prices!D16</f>
        <v>73</v>
      </c>
      <c r="D108" s="253"/>
      <c r="E108" s="251">
        <f>Prices!G16</f>
        <v>74</v>
      </c>
      <c r="F108" s="252"/>
    </row>
    <row r="109" spans="1:9" ht="14.25" customHeight="1" x14ac:dyDescent="0.55000000000000004">
      <c r="A109" s="112" t="str">
        <f>Prices!A17</f>
        <v>Dairy Cull cow (per cwt)</v>
      </c>
      <c r="B109" s="44">
        <f>Prices!B17</f>
        <v>38</v>
      </c>
      <c r="C109" s="251">
        <f>Prices!D17</f>
        <v>37</v>
      </c>
      <c r="D109" s="253"/>
      <c r="E109" s="251">
        <f>Prices!G17</f>
        <v>38</v>
      </c>
      <c r="F109" s="252"/>
    </row>
    <row r="110" spans="1:9" ht="14.25" customHeight="1" x14ac:dyDescent="0.55000000000000004">
      <c r="A110" s="112" t="str">
        <f>Prices!A18</f>
        <v>Cull Replacement Heifer (per cwt)</v>
      </c>
      <c r="B110" s="44">
        <f>Prices!B18</f>
        <v>107.88000000000001</v>
      </c>
      <c r="C110" s="251">
        <f>Prices!D18</f>
        <v>106</v>
      </c>
      <c r="D110" s="253"/>
      <c r="E110" s="251">
        <f>Prices!G18</f>
        <v>106</v>
      </c>
      <c r="F110" s="252"/>
    </row>
    <row r="111" spans="1:9" ht="14.25" customHeight="1" x14ac:dyDescent="0.55000000000000004">
      <c r="A111" s="113" t="str">
        <f>Prices!A19</f>
        <v>Cull Yearling Heifer (per cwt)</v>
      </c>
      <c r="B111" s="98">
        <f>Prices!B19</f>
        <v>115</v>
      </c>
      <c r="C111" s="256">
        <f>Prices!D19</f>
        <v>111</v>
      </c>
      <c r="D111" s="257"/>
      <c r="E111" s="256">
        <f>Prices!G19</f>
        <v>113</v>
      </c>
      <c r="F111" s="258"/>
    </row>
    <row r="122" spans="2:6" ht="231" customHeight="1" x14ac:dyDescent="0.55000000000000004"/>
    <row r="124" spans="2:6" x14ac:dyDescent="0.55000000000000004">
      <c r="B124" s="44"/>
      <c r="C124" s="144"/>
      <c r="D124" s="145"/>
      <c r="E124" s="144"/>
      <c r="F124" s="145"/>
    </row>
    <row r="125" spans="2:6" x14ac:dyDescent="0.55000000000000004">
      <c r="B125" s="44"/>
      <c r="C125" s="144"/>
      <c r="D125" s="145"/>
      <c r="E125" s="144"/>
      <c r="F125" s="145"/>
    </row>
    <row r="126" spans="2:6" x14ac:dyDescent="0.55000000000000004">
      <c r="B126" s="44"/>
      <c r="C126" s="144"/>
      <c r="D126" s="145"/>
      <c r="E126" s="144"/>
      <c r="F126" s="145"/>
    </row>
    <row r="127" spans="2:6" x14ac:dyDescent="0.55000000000000004">
      <c r="B127" s="44"/>
      <c r="C127" s="144"/>
      <c r="D127" s="145"/>
      <c r="E127" s="144"/>
      <c r="F127" s="145"/>
    </row>
    <row r="128" spans="2:6" x14ac:dyDescent="0.55000000000000004">
      <c r="B128" s="44"/>
      <c r="C128" s="144"/>
      <c r="D128" s="145"/>
      <c r="E128" s="144"/>
      <c r="F128" s="145"/>
    </row>
    <row r="129" spans="1:10" x14ac:dyDescent="0.55000000000000004">
      <c r="B129" s="44"/>
      <c r="C129" s="144"/>
      <c r="D129" s="145"/>
      <c r="E129" s="144"/>
      <c r="F129" s="145"/>
    </row>
    <row r="130" spans="1:10" x14ac:dyDescent="0.55000000000000004">
      <c r="A130" s="248" t="s">
        <v>34</v>
      </c>
      <c r="B130" s="249"/>
      <c r="C130" s="249"/>
      <c r="D130" s="249"/>
      <c r="E130" s="249"/>
      <c r="F130" s="249"/>
      <c r="G130" s="249"/>
      <c r="H130" s="249"/>
      <c r="I130" s="249"/>
      <c r="J130" s="249"/>
    </row>
    <row r="131" spans="1:10" ht="15.6" x14ac:dyDescent="0.6">
      <c r="A131" s="40" t="s">
        <v>35</v>
      </c>
      <c r="B131" s="40"/>
      <c r="C131" s="40"/>
      <c r="D131" s="40"/>
      <c r="E131" s="40"/>
      <c r="F131" s="40"/>
      <c r="G131" s="40"/>
      <c r="H131" s="40"/>
      <c r="I131" s="259" t="str">
        <f>I91</f>
        <v>Version- 12.2.2019</v>
      </c>
      <c r="J131" s="259"/>
    </row>
  </sheetData>
  <sheetProtection algorithmName="SHA-512" hashValue="WrktCPgdJXKPvywn41mc/PmGNTCQcospfSPLCC8/a80iRahAgwegJrZ4vel/yJFkUepl5poYINGsJ+eI6lP2Iw==" saltValue="KCHhMca6cgtmgxO6pm0q/w==" spinCount="100000" sheet="1" objects="1" scenarios="1"/>
  <mergeCells count="48">
    <mergeCell ref="I44:J44"/>
    <mergeCell ref="L1:T1"/>
    <mergeCell ref="C4:D4"/>
    <mergeCell ref="H1:J1"/>
    <mergeCell ref="D1:G1"/>
    <mergeCell ref="A1:C1"/>
    <mergeCell ref="A43:J43"/>
    <mergeCell ref="C99:D99"/>
    <mergeCell ref="E99:F99"/>
    <mergeCell ref="A46:B46"/>
    <mergeCell ref="C46:F46"/>
    <mergeCell ref="G46:J46"/>
    <mergeCell ref="A90:J90"/>
    <mergeCell ref="I91:J91"/>
    <mergeCell ref="A93:B93"/>
    <mergeCell ref="C93:F93"/>
    <mergeCell ref="G93:J93"/>
    <mergeCell ref="A96:F96"/>
    <mergeCell ref="C97:D97"/>
    <mergeCell ref="E97:F97"/>
    <mergeCell ref="C98:D98"/>
    <mergeCell ref="E98:F98"/>
    <mergeCell ref="C100:D100"/>
    <mergeCell ref="E100:F100"/>
    <mergeCell ref="C101:D101"/>
    <mergeCell ref="E101:F101"/>
    <mergeCell ref="C102:D102"/>
    <mergeCell ref="E102:F102"/>
    <mergeCell ref="C103:D103"/>
    <mergeCell ref="E103:F103"/>
    <mergeCell ref="C104:D104"/>
    <mergeCell ref="E104:F104"/>
    <mergeCell ref="C105:D105"/>
    <mergeCell ref="E105:F105"/>
    <mergeCell ref="C106:D106"/>
    <mergeCell ref="E106:F106"/>
    <mergeCell ref="I131:J131"/>
    <mergeCell ref="C107:D107"/>
    <mergeCell ref="E107:F107"/>
    <mergeCell ref="C108:D108"/>
    <mergeCell ref="E108:F108"/>
    <mergeCell ref="C109:D109"/>
    <mergeCell ref="E109:F109"/>
    <mergeCell ref="C110:D110"/>
    <mergeCell ref="E110:F110"/>
    <mergeCell ref="C111:D111"/>
    <mergeCell ref="E111:F111"/>
    <mergeCell ref="A130:J130"/>
  </mergeCells>
  <dataValidations count="1">
    <dataValidation type="list" showInputMessage="1" showErrorMessage="1" prompt="Select a price horizon to budget from" sqref="D1" xr:uid="{00000000-0002-0000-0400-000000000000}">
      <formula1>Prices</formula1>
    </dataValidation>
  </dataValidations>
  <pageMargins left="0.25" right="0.25" top="0.75" bottom="0.5" header="0.3" footer="0.3"/>
  <pageSetup scale="86" orientation="portrait" horizontalDpi="4294967295" verticalDpi="4294967295" r:id="rId1"/>
  <headerFooter>
    <oddHeader>&amp;L&amp;"-,Bold"&amp;20FARM MANAGEMENT GUIDE</oddHeader>
  </headerFooter>
  <rowBreaks count="1" manualBreakCount="1">
    <brk id="4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4" r:id="rId4" name="Button 4">
              <controlPr defaultSize="0" print="0" autoFill="0" autoPict="0" macro="[0]!PrintHFBudget">
                <anchor moveWithCells="1" sizeWithCells="1">
                  <from>
                    <xdr:col>12</xdr:col>
                    <xdr:colOff>0</xdr:colOff>
                    <xdr:row>2</xdr:row>
                    <xdr:rowOff>76200</xdr:rowOff>
                  </from>
                  <to>
                    <xdr:col>15</xdr:col>
                    <xdr:colOff>514350</xdr:colOff>
                    <xdr:row>4</xdr:row>
                    <xdr:rowOff>30480</xdr:rowOff>
                  </to>
                </anchor>
              </controlPr>
            </control>
          </mc:Choice>
        </mc:AlternateContent>
        <mc:AlternateContent xmlns:mc="http://schemas.openxmlformats.org/markup-compatibility/2006">
          <mc:Choice Requires="x14">
            <control shapeId="15365" r:id="rId5" name="Button 5">
              <controlPr defaultSize="0" print="0" autoFill="0" autoPict="0" macro="[0]!PrintHFSheets">
                <anchor moveWithCells="1" sizeWithCells="1">
                  <from>
                    <xdr:col>11</xdr:col>
                    <xdr:colOff>601980</xdr:colOff>
                    <xdr:row>5</xdr:row>
                    <xdr:rowOff>38100</xdr:rowOff>
                  </from>
                  <to>
                    <xdr:col>15</xdr:col>
                    <xdr:colOff>514350</xdr:colOff>
                    <xdr:row>6</xdr:row>
                    <xdr:rowOff>106680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O38"/>
  <sheetViews>
    <sheetView workbookViewId="0">
      <selection activeCell="K32" sqref="K32"/>
    </sheetView>
  </sheetViews>
  <sheetFormatPr defaultRowHeight="14.4" x14ac:dyDescent="0.55000000000000004"/>
  <cols>
    <col min="1" max="1" width="40.41796875" customWidth="1"/>
    <col min="11" max="11" width="12.41796875" bestFit="1" customWidth="1"/>
  </cols>
  <sheetData>
    <row r="1" spans="1:15" x14ac:dyDescent="0.55000000000000004">
      <c r="B1" t="s">
        <v>127</v>
      </c>
      <c r="E1" t="s">
        <v>83</v>
      </c>
      <c r="I1" t="s">
        <v>113</v>
      </c>
    </row>
    <row r="2" spans="1:15" x14ac:dyDescent="0.55000000000000004">
      <c r="A2" s="127" t="s">
        <v>128</v>
      </c>
      <c r="B2" s="127">
        <v>96</v>
      </c>
      <c r="C2" s="127"/>
      <c r="D2" s="127"/>
      <c r="E2" s="127"/>
      <c r="F2" s="127"/>
      <c r="G2" s="127"/>
      <c r="H2" s="127"/>
      <c r="I2" s="127"/>
    </row>
    <row r="3" spans="1:15" x14ac:dyDescent="0.55000000000000004">
      <c r="A3" s="127" t="s">
        <v>129</v>
      </c>
      <c r="B3" s="127">
        <v>63.42</v>
      </c>
      <c r="C3" s="127"/>
      <c r="D3" s="127"/>
      <c r="E3" s="127"/>
      <c r="F3" s="127"/>
      <c r="G3" s="127"/>
      <c r="H3" s="127"/>
      <c r="I3" s="127"/>
    </row>
    <row r="4" spans="1:15" x14ac:dyDescent="0.55000000000000004">
      <c r="A4" s="127" t="s">
        <v>130</v>
      </c>
      <c r="B4" s="127">
        <v>5.31</v>
      </c>
      <c r="C4" s="127"/>
      <c r="D4" s="127"/>
      <c r="E4" s="127"/>
      <c r="F4" s="127"/>
      <c r="G4" s="127"/>
      <c r="H4" s="127"/>
      <c r="I4" s="127"/>
    </row>
    <row r="5" spans="1:15" x14ac:dyDescent="0.55000000000000004">
      <c r="A5" s="128" t="s">
        <v>147</v>
      </c>
      <c r="B5" s="127">
        <f>SUM(B2:B4)</f>
        <v>164.73000000000002</v>
      </c>
      <c r="C5" s="127"/>
      <c r="D5" s="127"/>
      <c r="E5" s="127">
        <v>1046.1099999999999</v>
      </c>
      <c r="F5" s="127"/>
      <c r="G5" s="127"/>
      <c r="H5" s="127"/>
      <c r="I5" s="127">
        <f>B5+E5</f>
        <v>1210.8399999999999</v>
      </c>
    </row>
    <row r="6" spans="1:15" x14ac:dyDescent="0.55000000000000004">
      <c r="A6" s="127" t="s">
        <v>131</v>
      </c>
      <c r="B6" s="127">
        <v>8.6300000000000008</v>
      </c>
      <c r="C6" s="127"/>
      <c r="D6" s="127"/>
      <c r="E6" s="127">
        <v>91.57</v>
      </c>
      <c r="F6" s="127"/>
      <c r="G6" s="127"/>
      <c r="H6" s="127"/>
      <c r="I6" s="127">
        <f t="shared" ref="I6:I38" si="0">B6+E6</f>
        <v>100.19999999999999</v>
      </c>
    </row>
    <row r="7" spans="1:15" x14ac:dyDescent="0.55000000000000004">
      <c r="A7" s="127" t="s">
        <v>132</v>
      </c>
      <c r="B7" s="127">
        <v>21.86</v>
      </c>
      <c r="C7" s="127"/>
      <c r="D7" s="127"/>
      <c r="E7" s="127">
        <v>50.33</v>
      </c>
      <c r="F7" s="127"/>
      <c r="G7" s="127"/>
      <c r="H7" s="127"/>
      <c r="I7" s="127">
        <f t="shared" si="0"/>
        <v>72.19</v>
      </c>
    </row>
    <row r="8" spans="1:15" x14ac:dyDescent="0.55000000000000004">
      <c r="A8" s="127" t="s">
        <v>148</v>
      </c>
      <c r="B8" s="127"/>
      <c r="C8" s="127"/>
      <c r="D8" s="127"/>
      <c r="E8" s="127">
        <v>38.54</v>
      </c>
      <c r="F8" s="127"/>
      <c r="G8" s="127"/>
      <c r="H8" s="127"/>
      <c r="I8" s="127">
        <f t="shared" si="0"/>
        <v>38.54</v>
      </c>
    </row>
    <row r="9" spans="1:15" x14ac:dyDescent="0.55000000000000004">
      <c r="A9" s="127" t="s">
        <v>149</v>
      </c>
      <c r="B9" s="127"/>
      <c r="C9" s="127"/>
      <c r="D9" s="127"/>
      <c r="E9" s="127">
        <v>31.83</v>
      </c>
      <c r="F9" s="127"/>
      <c r="G9" s="127"/>
      <c r="H9" s="127"/>
      <c r="I9" s="127">
        <f t="shared" si="0"/>
        <v>31.83</v>
      </c>
    </row>
    <row r="10" spans="1:15" x14ac:dyDescent="0.55000000000000004">
      <c r="A10" s="127" t="s">
        <v>103</v>
      </c>
      <c r="B10" s="127">
        <v>7.02</v>
      </c>
      <c r="C10" s="127"/>
      <c r="D10" s="127"/>
      <c r="E10" s="127">
        <v>5.27</v>
      </c>
      <c r="F10" s="127"/>
      <c r="G10" s="127"/>
      <c r="H10" s="127"/>
      <c r="I10" s="127">
        <f t="shared" si="0"/>
        <v>12.29</v>
      </c>
    </row>
    <row r="11" spans="1:15" x14ac:dyDescent="0.55000000000000004">
      <c r="A11" s="127" t="s">
        <v>133</v>
      </c>
      <c r="B11" s="127">
        <v>3.94</v>
      </c>
      <c r="C11" s="127"/>
      <c r="D11" s="127"/>
      <c r="E11" s="127">
        <v>56.63</v>
      </c>
      <c r="F11" s="127"/>
      <c r="G11" s="127"/>
      <c r="H11" s="127"/>
      <c r="I11" s="127">
        <f t="shared" si="0"/>
        <v>60.57</v>
      </c>
    </row>
    <row r="12" spans="1:15" x14ac:dyDescent="0.55000000000000004">
      <c r="A12" s="127" t="s">
        <v>160</v>
      </c>
      <c r="B12" s="127">
        <v>122.33</v>
      </c>
      <c r="C12" s="127"/>
      <c r="D12" s="127"/>
      <c r="E12" s="127">
        <v>307.61</v>
      </c>
      <c r="F12" s="127"/>
      <c r="G12" s="127"/>
      <c r="H12" s="127"/>
      <c r="I12" s="127">
        <f>B12+E12</f>
        <v>429.94</v>
      </c>
      <c r="J12" t="s">
        <v>162</v>
      </c>
      <c r="M12">
        <f>I12/13</f>
        <v>33.072307692307689</v>
      </c>
      <c r="N12" t="s">
        <v>19</v>
      </c>
      <c r="O12" t="s">
        <v>167</v>
      </c>
    </row>
    <row r="13" spans="1:15" x14ac:dyDescent="0.55000000000000004">
      <c r="A13" s="127" t="s">
        <v>161</v>
      </c>
      <c r="B13" s="127">
        <v>11.97</v>
      </c>
      <c r="C13" s="127"/>
      <c r="D13" s="127"/>
      <c r="E13" s="127">
        <v>25.66</v>
      </c>
      <c r="F13" s="127"/>
      <c r="G13" s="127"/>
      <c r="H13" s="127"/>
      <c r="I13" s="127">
        <f t="shared" si="0"/>
        <v>37.630000000000003</v>
      </c>
      <c r="J13" t="s">
        <v>163</v>
      </c>
      <c r="M13">
        <f>I13/22</f>
        <v>1.7104545454545457</v>
      </c>
    </row>
    <row r="14" spans="1:15" x14ac:dyDescent="0.55000000000000004">
      <c r="A14" s="127"/>
      <c r="B14" s="127"/>
      <c r="C14" s="127"/>
      <c r="D14" s="127"/>
      <c r="E14" s="127"/>
      <c r="F14" s="127"/>
      <c r="G14" s="127"/>
      <c r="H14" s="127"/>
      <c r="I14" s="127"/>
    </row>
    <row r="15" spans="1:15" x14ac:dyDescent="0.55000000000000004">
      <c r="A15" s="127" t="s">
        <v>134</v>
      </c>
      <c r="B15" s="127">
        <f>SUM(B5:B13)</f>
        <v>340.48000000000008</v>
      </c>
      <c r="C15" s="127"/>
      <c r="D15" s="127"/>
      <c r="E15" s="127">
        <f>SUM(E2:E13)</f>
        <v>1653.55</v>
      </c>
      <c r="F15" s="127"/>
      <c r="G15" s="127"/>
      <c r="H15" s="127"/>
      <c r="I15" s="127">
        <f t="shared" si="0"/>
        <v>1994.03</v>
      </c>
    </row>
    <row r="16" spans="1:15" x14ac:dyDescent="0.55000000000000004">
      <c r="A16" s="127"/>
      <c r="B16" s="127"/>
      <c r="C16" s="127"/>
      <c r="D16" s="127"/>
      <c r="E16" s="127"/>
      <c r="F16" s="127"/>
      <c r="G16" s="127"/>
      <c r="H16" s="127"/>
      <c r="I16" s="127"/>
    </row>
    <row r="17" spans="1:15" x14ac:dyDescent="0.55000000000000004">
      <c r="A17" s="127" t="s">
        <v>150</v>
      </c>
      <c r="B17" s="127">
        <v>16.32</v>
      </c>
      <c r="C17" s="127"/>
      <c r="D17" s="127"/>
      <c r="E17" s="127">
        <v>149.04</v>
      </c>
      <c r="F17" s="127"/>
      <c r="G17" s="127"/>
      <c r="H17" s="127"/>
      <c r="I17" s="127">
        <f t="shared" si="0"/>
        <v>165.35999999999999</v>
      </c>
    </row>
    <row r="18" spans="1:15" x14ac:dyDescent="0.55000000000000004">
      <c r="A18" s="127" t="s">
        <v>151</v>
      </c>
      <c r="B18" s="127">
        <v>6.87</v>
      </c>
      <c r="C18" s="127"/>
      <c r="D18" s="127"/>
      <c r="E18" s="127">
        <v>41.05</v>
      </c>
      <c r="F18" s="127"/>
      <c r="G18" s="127"/>
      <c r="H18" s="127"/>
      <c r="I18" s="127">
        <f t="shared" si="0"/>
        <v>47.919999999999995</v>
      </c>
      <c r="J18" t="s">
        <v>164</v>
      </c>
      <c r="K18" t="s">
        <v>25</v>
      </c>
      <c r="L18" t="s">
        <v>133</v>
      </c>
      <c r="M18" t="s">
        <v>165</v>
      </c>
      <c r="N18" t="s">
        <v>26</v>
      </c>
      <c r="O18" t="s">
        <v>166</v>
      </c>
    </row>
    <row r="19" spans="1:15" x14ac:dyDescent="0.55000000000000004">
      <c r="A19" s="127" t="s">
        <v>152</v>
      </c>
      <c r="B19" s="127"/>
      <c r="C19" s="127"/>
      <c r="D19" s="127"/>
      <c r="E19" s="127">
        <v>19.71</v>
      </c>
      <c r="F19" s="127"/>
      <c r="G19" s="127"/>
      <c r="H19" s="127"/>
      <c r="I19" s="127">
        <f t="shared" si="0"/>
        <v>19.71</v>
      </c>
      <c r="J19">
        <f>SUM(I17:I19)</f>
        <v>232.98999999999998</v>
      </c>
      <c r="K19">
        <f>0.07/0.15*$J$19</f>
        <v>108.72866666666667</v>
      </c>
      <c r="L19">
        <f>0.05/0.15*$J$19</f>
        <v>77.663333333333341</v>
      </c>
      <c r="M19">
        <f>0.02/0.15*$J$19</f>
        <v>31.065333333333331</v>
      </c>
      <c r="N19">
        <f>0.005/0.15*$J$19</f>
        <v>7.7663333333333329</v>
      </c>
      <c r="O19">
        <f>0.005/0.15*$J$19</f>
        <v>7.7663333333333329</v>
      </c>
    </row>
    <row r="20" spans="1:15" x14ac:dyDescent="0.55000000000000004">
      <c r="A20" s="127"/>
      <c r="B20" s="127"/>
      <c r="C20" s="127"/>
      <c r="D20" s="127"/>
      <c r="E20" s="127"/>
      <c r="F20" s="127"/>
      <c r="G20" s="127"/>
      <c r="H20" s="127"/>
      <c r="I20" s="127"/>
    </row>
    <row r="21" spans="1:15" x14ac:dyDescent="0.55000000000000004">
      <c r="A21" s="127" t="s">
        <v>134</v>
      </c>
      <c r="B21" s="127">
        <f>SUM(B17:B18)</f>
        <v>23.19</v>
      </c>
      <c r="C21" s="127"/>
      <c r="D21" s="127"/>
      <c r="E21" s="127">
        <f>SUM(E17:E19)</f>
        <v>209.79999999999998</v>
      </c>
      <c r="F21" s="127"/>
      <c r="G21" s="127"/>
      <c r="H21" s="127"/>
      <c r="I21" s="127">
        <f t="shared" si="0"/>
        <v>232.98999999999998</v>
      </c>
    </row>
    <row r="22" spans="1:15" x14ac:dyDescent="0.55000000000000004">
      <c r="A22" s="127"/>
      <c r="B22" s="127"/>
      <c r="C22" s="127"/>
      <c r="D22" s="127"/>
      <c r="E22" s="127"/>
      <c r="F22" s="127"/>
      <c r="G22" s="127"/>
      <c r="H22" s="127"/>
      <c r="I22" s="127"/>
    </row>
    <row r="23" spans="1:15" x14ac:dyDescent="0.55000000000000004">
      <c r="A23" s="127" t="s">
        <v>135</v>
      </c>
      <c r="B23" s="127">
        <f>B15+B21</f>
        <v>363.67000000000007</v>
      </c>
      <c r="C23" s="127"/>
      <c r="D23" s="127"/>
      <c r="E23" s="127">
        <f>E15+E21</f>
        <v>1863.35</v>
      </c>
      <c r="F23" s="127"/>
      <c r="G23" s="127"/>
      <c r="H23" s="127"/>
      <c r="I23" s="127">
        <f t="shared" si="0"/>
        <v>2227.02</v>
      </c>
    </row>
    <row r="24" spans="1:15" x14ac:dyDescent="0.55000000000000004">
      <c r="A24" s="127" t="s">
        <v>136</v>
      </c>
      <c r="B24" s="127">
        <v>73.86</v>
      </c>
      <c r="C24" s="127"/>
      <c r="D24" s="127"/>
      <c r="E24" s="127">
        <v>146.27000000000001</v>
      </c>
      <c r="F24" s="127"/>
      <c r="G24" s="127"/>
      <c r="H24" s="127"/>
      <c r="I24" s="127">
        <f t="shared" si="0"/>
        <v>220.13</v>
      </c>
    </row>
    <row r="25" spans="1:15" x14ac:dyDescent="0.55000000000000004">
      <c r="A25" s="127" t="s">
        <v>137</v>
      </c>
      <c r="B25" s="127">
        <f>B23+B24</f>
        <v>437.53000000000009</v>
      </c>
      <c r="C25" s="127"/>
      <c r="D25" s="127"/>
      <c r="E25" s="127">
        <f>E23+E24</f>
        <v>2009.62</v>
      </c>
      <c r="F25" s="127"/>
      <c r="G25" s="127"/>
      <c r="H25" s="127"/>
      <c r="I25" s="127">
        <f t="shared" si="0"/>
        <v>2447.15</v>
      </c>
    </row>
    <row r="31" spans="1:15" x14ac:dyDescent="0.55000000000000004">
      <c r="A31" s="127" t="s">
        <v>138</v>
      </c>
      <c r="B31" s="127">
        <v>164.74</v>
      </c>
      <c r="C31" s="129">
        <v>0.44209999999999999</v>
      </c>
      <c r="D31" s="127"/>
      <c r="E31" s="127">
        <v>1046.1099999999999</v>
      </c>
      <c r="F31" s="129">
        <v>0.57179999999999997</v>
      </c>
      <c r="G31" s="127"/>
      <c r="H31" s="127"/>
      <c r="I31" s="127">
        <f t="shared" si="0"/>
        <v>1210.8499999999999</v>
      </c>
    </row>
    <row r="32" spans="1:15" x14ac:dyDescent="0.55000000000000004">
      <c r="A32" s="127" t="s">
        <v>139</v>
      </c>
      <c r="B32" s="127">
        <v>41.34</v>
      </c>
      <c r="C32" s="129">
        <v>0.12659999999999999</v>
      </c>
      <c r="D32" s="127"/>
      <c r="E32" s="127">
        <v>274.17</v>
      </c>
      <c r="F32" s="129">
        <v>0.151</v>
      </c>
      <c r="G32" s="127"/>
      <c r="H32" s="127"/>
      <c r="I32" s="127">
        <f t="shared" si="0"/>
        <v>315.51</v>
      </c>
    </row>
    <row r="33" spans="1:11" x14ac:dyDescent="0.55000000000000004">
      <c r="A33" s="127" t="s">
        <v>140</v>
      </c>
      <c r="B33" s="127">
        <v>134.30000000000001</v>
      </c>
      <c r="C33" s="129">
        <v>0.36630000000000001</v>
      </c>
      <c r="D33" s="127"/>
      <c r="E33" s="127">
        <v>333.11</v>
      </c>
      <c r="F33" s="129">
        <v>0.1661</v>
      </c>
      <c r="G33" s="127"/>
      <c r="H33" s="127"/>
      <c r="I33" s="127">
        <f t="shared" si="0"/>
        <v>467.41</v>
      </c>
    </row>
    <row r="34" spans="1:11" x14ac:dyDescent="0.55000000000000004">
      <c r="A34" s="127" t="s">
        <v>141</v>
      </c>
      <c r="B34" s="127">
        <v>23.2</v>
      </c>
      <c r="C34" s="129">
        <v>6.5000000000000002E-2</v>
      </c>
      <c r="D34" s="127"/>
      <c r="E34" s="127">
        <v>209.8</v>
      </c>
      <c r="F34" s="129">
        <v>0.1111</v>
      </c>
      <c r="G34" s="127"/>
      <c r="H34" s="127"/>
      <c r="I34" s="127">
        <f t="shared" si="0"/>
        <v>233</v>
      </c>
    </row>
    <row r="35" spans="1:11" x14ac:dyDescent="0.55000000000000004">
      <c r="A35" s="127"/>
      <c r="B35" s="127"/>
      <c r="C35" s="127"/>
      <c r="D35" s="127"/>
      <c r="E35" s="127"/>
      <c r="F35" s="127"/>
      <c r="G35" s="127"/>
      <c r="H35" s="127"/>
      <c r="I35" s="127"/>
    </row>
    <row r="36" spans="1:11" x14ac:dyDescent="0.55000000000000004">
      <c r="A36" s="127" t="s">
        <v>142</v>
      </c>
      <c r="B36" s="127">
        <v>9.9499999999999993</v>
      </c>
      <c r="C36" s="127" t="s">
        <v>143</v>
      </c>
      <c r="D36" s="127"/>
      <c r="E36" s="127">
        <v>12.78</v>
      </c>
      <c r="F36" s="127" t="s">
        <v>153</v>
      </c>
      <c r="G36" s="127"/>
      <c r="H36" s="127"/>
      <c r="I36" s="127">
        <f t="shared" si="0"/>
        <v>22.729999999999997</v>
      </c>
      <c r="K36" t="s">
        <v>168</v>
      </c>
    </row>
    <row r="37" spans="1:11" x14ac:dyDescent="0.55000000000000004">
      <c r="A37" s="127" t="s">
        <v>144</v>
      </c>
      <c r="B37" s="127">
        <v>7.61</v>
      </c>
      <c r="C37" s="127" t="s">
        <v>145</v>
      </c>
      <c r="D37" s="127"/>
      <c r="E37" s="127">
        <v>23.38</v>
      </c>
      <c r="F37" s="127" t="s">
        <v>154</v>
      </c>
      <c r="G37" s="127"/>
      <c r="H37" s="127"/>
      <c r="I37" s="127">
        <f>(B37/4)+E37</f>
        <v>25.282499999999999</v>
      </c>
      <c r="J37" t="s">
        <v>154</v>
      </c>
    </row>
    <row r="38" spans="1:11" x14ac:dyDescent="0.55000000000000004">
      <c r="A38" s="127" t="s">
        <v>146</v>
      </c>
      <c r="B38" s="127">
        <v>68.599999999999994</v>
      </c>
      <c r="C38" s="127" t="s">
        <v>49</v>
      </c>
      <c r="D38" s="127"/>
      <c r="E38" s="127">
        <v>611.48</v>
      </c>
      <c r="F38" s="127" t="s">
        <v>155</v>
      </c>
      <c r="G38" s="127"/>
      <c r="H38" s="127"/>
      <c r="I38" s="127">
        <f t="shared" si="0"/>
        <v>680.08</v>
      </c>
      <c r="J38" t="s">
        <v>155</v>
      </c>
      <c r="K38">
        <f>I38/30.4</f>
        <v>22.371052631578952</v>
      </c>
    </row>
  </sheetData>
  <pageMargins left="0.25" right="0.25" top="0.75" bottom="0.75" header="0.3" footer="0.3"/>
  <pageSetup scale="77"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I28"/>
  <sheetViews>
    <sheetView workbookViewId="0">
      <selection activeCell="C5" sqref="C5"/>
    </sheetView>
  </sheetViews>
  <sheetFormatPr defaultRowHeight="14.4" x14ac:dyDescent="0.55000000000000004"/>
  <cols>
    <col min="1" max="1" width="34.68359375" bestFit="1" customWidth="1"/>
    <col min="2" max="2" width="12.83984375" customWidth="1"/>
    <col min="3" max="3" width="13.41796875" bestFit="1" customWidth="1"/>
    <col min="4" max="4" width="20.83984375" bestFit="1" customWidth="1"/>
    <col min="5" max="5" width="22.83984375" bestFit="1" customWidth="1"/>
  </cols>
  <sheetData>
    <row r="1" spans="1:9" x14ac:dyDescent="0.55000000000000004">
      <c r="B1" s="50" t="s">
        <v>117</v>
      </c>
      <c r="D1" s="131" t="s">
        <v>175</v>
      </c>
      <c r="F1" s="135"/>
      <c r="G1" s="135"/>
      <c r="H1" s="261" t="s">
        <v>176</v>
      </c>
      <c r="I1" s="261"/>
    </row>
    <row r="2" spans="1:9" x14ac:dyDescent="0.55000000000000004">
      <c r="B2" s="50" t="s">
        <v>113</v>
      </c>
      <c r="C2" s="3" t="s">
        <v>114</v>
      </c>
      <c r="D2" s="131" t="s">
        <v>115</v>
      </c>
      <c r="E2" t="s">
        <v>169</v>
      </c>
      <c r="F2" s="135" t="s">
        <v>158</v>
      </c>
      <c r="G2" s="135" t="s">
        <v>159</v>
      </c>
    </row>
    <row r="3" spans="1:9" x14ac:dyDescent="0.55000000000000004">
      <c r="A3" t="s">
        <v>120</v>
      </c>
      <c r="B3" s="50">
        <f>3180.29-B4</f>
        <v>3080.29</v>
      </c>
      <c r="C3" s="134">
        <f>B3-E3</f>
        <v>2532.79</v>
      </c>
      <c r="D3" s="132">
        <v>1095</v>
      </c>
      <c r="E3" s="108">
        <f>D3/2</f>
        <v>547.5</v>
      </c>
      <c r="F3" s="136">
        <f>C3/B3</f>
        <v>0.82225699528291163</v>
      </c>
      <c r="G3" s="136">
        <f>1-F3</f>
        <v>0.17774300471708837</v>
      </c>
    </row>
    <row r="4" spans="1:9" x14ac:dyDescent="0.55000000000000004">
      <c r="A4" s="130" t="s">
        <v>131</v>
      </c>
      <c r="B4" s="50">
        <v>100</v>
      </c>
      <c r="C4" s="134">
        <f>B4-E4</f>
        <v>50</v>
      </c>
      <c r="D4" s="132">
        <v>100</v>
      </c>
      <c r="E4" s="108">
        <f>D4/2</f>
        <v>50</v>
      </c>
      <c r="F4" s="136">
        <f>C4/B4</f>
        <v>0.5</v>
      </c>
      <c r="G4" s="136">
        <f>1-F4</f>
        <v>0.5</v>
      </c>
    </row>
    <row r="5" spans="1:9" x14ac:dyDescent="0.55000000000000004">
      <c r="A5" t="s">
        <v>157</v>
      </c>
      <c r="B5" s="50">
        <v>333.35</v>
      </c>
      <c r="C5" s="134"/>
      <c r="D5" s="132">
        <v>260</v>
      </c>
      <c r="E5" s="108">
        <f t="shared" ref="E5:E20" si="0">D5/2</f>
        <v>130</v>
      </c>
      <c r="F5" s="136"/>
      <c r="G5" s="136"/>
    </row>
    <row r="6" spans="1:9" x14ac:dyDescent="0.55000000000000004">
      <c r="A6" t="s">
        <v>156</v>
      </c>
      <c r="B6" s="50">
        <v>498.14</v>
      </c>
      <c r="C6" s="134"/>
      <c r="D6" s="132">
        <v>44</v>
      </c>
      <c r="E6" s="108">
        <f t="shared" si="0"/>
        <v>22</v>
      </c>
      <c r="F6" s="136"/>
      <c r="G6" s="136"/>
    </row>
    <row r="7" spans="1:9" x14ac:dyDescent="0.55000000000000004">
      <c r="A7" s="126" t="s">
        <v>170</v>
      </c>
      <c r="B7" s="50">
        <f>B5+B6</f>
        <v>831.49</v>
      </c>
      <c r="C7" s="134">
        <f>B7-E7</f>
        <v>679.49</v>
      </c>
      <c r="D7" s="132">
        <f>D5+D6</f>
        <v>304</v>
      </c>
      <c r="E7" s="108">
        <f>E5+E6</f>
        <v>152</v>
      </c>
      <c r="F7" s="136">
        <f t="shared" ref="F7:F20" si="1">C7/B7</f>
        <v>0.81719563674848761</v>
      </c>
      <c r="G7" s="136">
        <f t="shared" ref="G7:G20" si="2">1-F7</f>
        <v>0.18280436325151239</v>
      </c>
    </row>
    <row r="8" spans="1:9" x14ac:dyDescent="0.55000000000000004">
      <c r="A8" s="26" t="s">
        <v>116</v>
      </c>
      <c r="B8" s="50">
        <v>87.87</v>
      </c>
      <c r="C8" s="134">
        <f>B8-E8</f>
        <v>68.37</v>
      </c>
      <c r="D8" s="132">
        <v>39</v>
      </c>
      <c r="E8" s="108">
        <f t="shared" si="0"/>
        <v>19.5</v>
      </c>
      <c r="F8" s="136">
        <f t="shared" si="1"/>
        <v>0.77808125640150227</v>
      </c>
      <c r="G8" s="136">
        <f t="shared" si="2"/>
        <v>0.22191874359849773</v>
      </c>
    </row>
    <row r="9" spans="1:9" x14ac:dyDescent="0.55000000000000004">
      <c r="A9" s="26" t="s">
        <v>118</v>
      </c>
      <c r="B9" s="50">
        <v>366.46</v>
      </c>
      <c r="C9" s="134"/>
      <c r="D9" s="132"/>
      <c r="E9" s="108"/>
      <c r="F9" s="136"/>
      <c r="G9" s="136"/>
    </row>
    <row r="10" spans="1:9" x14ac:dyDescent="0.55000000000000004">
      <c r="A10" s="126" t="s">
        <v>100</v>
      </c>
      <c r="B10" s="103">
        <f>'Cow Milking-Purchased Replmts'!J22</f>
        <v>105</v>
      </c>
      <c r="C10" s="134">
        <f t="shared" ref="C10:C20" si="3">B10-E10</f>
        <v>105</v>
      </c>
      <c r="D10" s="132"/>
      <c r="E10" s="108"/>
      <c r="F10" s="136">
        <f t="shared" si="1"/>
        <v>1</v>
      </c>
      <c r="G10" s="136">
        <f t="shared" si="2"/>
        <v>0</v>
      </c>
    </row>
    <row r="11" spans="1:9" x14ac:dyDescent="0.55000000000000004">
      <c r="A11" s="126" t="s">
        <v>122</v>
      </c>
      <c r="B11" s="103">
        <f>B9-B10</f>
        <v>261.45999999999998</v>
      </c>
      <c r="C11" s="134"/>
      <c r="D11" s="132"/>
      <c r="E11" s="108"/>
      <c r="F11" s="136"/>
      <c r="G11" s="136"/>
    </row>
    <row r="12" spans="1:9" x14ac:dyDescent="0.55000000000000004">
      <c r="A12" t="s">
        <v>20</v>
      </c>
      <c r="B12" s="50">
        <v>124.6</v>
      </c>
      <c r="C12" s="134">
        <f t="shared" si="3"/>
        <v>88.6</v>
      </c>
      <c r="D12" s="132">
        <v>72</v>
      </c>
      <c r="E12" s="108">
        <f t="shared" si="0"/>
        <v>36</v>
      </c>
      <c r="F12" s="136">
        <f t="shared" si="1"/>
        <v>0.7110754414125201</v>
      </c>
      <c r="G12" s="136">
        <f t="shared" si="2"/>
        <v>0.2889245585874799</v>
      </c>
    </row>
    <row r="13" spans="1:9" x14ac:dyDescent="0.55000000000000004">
      <c r="A13" t="s">
        <v>106</v>
      </c>
      <c r="B13" s="50">
        <f>121.51+120.94</f>
        <v>242.45</v>
      </c>
      <c r="C13" s="134">
        <f>B13-E13</f>
        <v>226.45</v>
      </c>
      <c r="D13" s="132">
        <v>32</v>
      </c>
      <c r="E13" s="108">
        <f t="shared" si="0"/>
        <v>16</v>
      </c>
      <c r="F13" s="136">
        <f t="shared" si="1"/>
        <v>0.934007011755001</v>
      </c>
      <c r="G13" s="136">
        <f t="shared" si="2"/>
        <v>6.5992988244998996E-2</v>
      </c>
    </row>
    <row r="14" spans="1:9" x14ac:dyDescent="0.55000000000000004">
      <c r="A14" t="s">
        <v>21</v>
      </c>
      <c r="B14" s="50">
        <f>204.87+22.92+3.84</f>
        <v>231.63000000000002</v>
      </c>
      <c r="C14" s="134">
        <f t="shared" si="3"/>
        <v>216.13000000000002</v>
      </c>
      <c r="D14" s="132">
        <v>31</v>
      </c>
      <c r="E14" s="108">
        <f t="shared" si="0"/>
        <v>15.5</v>
      </c>
      <c r="F14" s="136">
        <f t="shared" si="1"/>
        <v>0.93308293398955233</v>
      </c>
      <c r="G14" s="136">
        <f t="shared" si="2"/>
        <v>6.6917066010447668E-2</v>
      </c>
    </row>
    <row r="15" spans="1:9" x14ac:dyDescent="0.55000000000000004">
      <c r="A15" s="20" t="s">
        <v>22</v>
      </c>
      <c r="B15" s="103">
        <f>63.82+27.87+2.21+B11</f>
        <v>355.35999999999996</v>
      </c>
      <c r="C15" s="134">
        <f>B15-E15</f>
        <v>324.85999999999996</v>
      </c>
      <c r="D15" s="132">
        <v>61</v>
      </c>
      <c r="E15" s="108">
        <f t="shared" si="0"/>
        <v>30.5</v>
      </c>
      <c r="F15" s="136">
        <f t="shared" si="1"/>
        <v>0.91417154434939218</v>
      </c>
      <c r="G15" s="136">
        <f t="shared" si="2"/>
        <v>8.5828455650607816E-2</v>
      </c>
    </row>
    <row r="16" spans="1:9" x14ac:dyDescent="0.55000000000000004">
      <c r="B16" s="50"/>
      <c r="C16" s="134"/>
      <c r="D16" s="132"/>
      <c r="E16" s="108"/>
      <c r="F16" s="136"/>
      <c r="G16" s="136"/>
    </row>
    <row r="17" spans="1:7" x14ac:dyDescent="0.55000000000000004">
      <c r="A17" t="s">
        <v>25</v>
      </c>
      <c r="B17" s="50">
        <v>214.48</v>
      </c>
      <c r="C17" s="134">
        <f t="shared" si="3"/>
        <v>159.97999999999999</v>
      </c>
      <c r="D17" s="132">
        <v>109</v>
      </c>
      <c r="E17" s="108">
        <f t="shared" si="0"/>
        <v>54.5</v>
      </c>
      <c r="F17" s="136">
        <f t="shared" si="1"/>
        <v>0.74589705333830658</v>
      </c>
      <c r="G17" s="136">
        <f t="shared" si="2"/>
        <v>0.25410294666169342</v>
      </c>
    </row>
    <row r="18" spans="1:7" x14ac:dyDescent="0.55000000000000004">
      <c r="A18" t="s">
        <v>26</v>
      </c>
      <c r="B18" s="50">
        <f>13.65+5.21</f>
        <v>18.86</v>
      </c>
      <c r="C18" s="134">
        <f t="shared" si="3"/>
        <v>14.86</v>
      </c>
      <c r="D18" s="132">
        <v>8</v>
      </c>
      <c r="E18" s="108">
        <f t="shared" si="0"/>
        <v>4</v>
      </c>
      <c r="F18" s="136">
        <f t="shared" si="1"/>
        <v>0.78791092258748674</v>
      </c>
      <c r="G18" s="136">
        <f t="shared" si="2"/>
        <v>0.21208907741251326</v>
      </c>
    </row>
    <row r="19" spans="1:7" x14ac:dyDescent="0.55000000000000004">
      <c r="A19" t="s">
        <v>27</v>
      </c>
      <c r="B19" s="50">
        <v>37.5</v>
      </c>
      <c r="C19" s="134">
        <f t="shared" si="3"/>
        <v>33.5</v>
      </c>
      <c r="D19" s="132">
        <v>8</v>
      </c>
      <c r="E19" s="108">
        <f t="shared" si="0"/>
        <v>4</v>
      </c>
      <c r="F19" s="136">
        <f t="shared" si="1"/>
        <v>0.89333333333333331</v>
      </c>
      <c r="G19" s="136">
        <f t="shared" si="2"/>
        <v>0.10666666666666669</v>
      </c>
    </row>
    <row r="20" spans="1:7" x14ac:dyDescent="0.55000000000000004">
      <c r="A20" s="29" t="s">
        <v>28</v>
      </c>
      <c r="B20" s="50">
        <v>267.41000000000003</v>
      </c>
      <c r="C20" s="134">
        <f t="shared" si="3"/>
        <v>228.41000000000003</v>
      </c>
      <c r="D20" s="132">
        <v>78</v>
      </c>
      <c r="E20" s="108">
        <f t="shared" si="0"/>
        <v>39</v>
      </c>
      <c r="F20" s="136">
        <f t="shared" si="1"/>
        <v>0.85415653864851726</v>
      </c>
      <c r="G20" s="136">
        <f t="shared" si="2"/>
        <v>0.14584346135148274</v>
      </c>
    </row>
    <row r="24" spans="1:7" x14ac:dyDescent="0.55000000000000004">
      <c r="A24" t="s">
        <v>121</v>
      </c>
    </row>
    <row r="25" spans="1:7" x14ac:dyDescent="0.55000000000000004">
      <c r="A25" t="s">
        <v>171</v>
      </c>
    </row>
    <row r="26" spans="1:7" x14ac:dyDescent="0.55000000000000004">
      <c r="A26" t="s">
        <v>172</v>
      </c>
    </row>
    <row r="27" spans="1:7" x14ac:dyDescent="0.55000000000000004">
      <c r="A27" t="s">
        <v>173</v>
      </c>
    </row>
    <row r="28" spans="1:7" x14ac:dyDescent="0.55000000000000004">
      <c r="A28" t="s">
        <v>174</v>
      </c>
    </row>
  </sheetData>
  <mergeCells count="1">
    <mergeCell ref="H1:I1"/>
  </mergeCells>
  <pageMargins left="0.25" right="0.25" top="0.75" bottom="0.75" header="0.3" footer="0.3"/>
  <pageSetup scale="7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2:S46"/>
  <sheetViews>
    <sheetView topLeftCell="A31" workbookViewId="0">
      <selection activeCell="H47" sqref="H47"/>
    </sheetView>
  </sheetViews>
  <sheetFormatPr defaultColWidth="9.15625" defaultRowHeight="14.4" x14ac:dyDescent="0.55000000000000004"/>
  <cols>
    <col min="1" max="1" width="9.15625" style="63"/>
    <col min="2" max="2" width="23" style="63" customWidth="1"/>
    <col min="3" max="4" width="10.41796875" style="63" bestFit="1" customWidth="1"/>
    <col min="5" max="5" width="12.41796875" style="63" customWidth="1"/>
    <col min="6" max="6" width="4.83984375" style="63" customWidth="1"/>
    <col min="7" max="7" width="15.578125" style="63" customWidth="1"/>
    <col min="8" max="9" width="9.15625" style="63"/>
    <col min="10" max="10" width="4" style="63" customWidth="1"/>
    <col min="11" max="11" width="17.83984375" style="63" customWidth="1"/>
    <col min="12" max="14" width="9.15625" style="63"/>
    <col min="15" max="15" width="11.83984375" style="63" customWidth="1"/>
    <col min="16" max="16" width="11" style="63" customWidth="1"/>
    <col min="17" max="16384" width="9.15625" style="63"/>
  </cols>
  <sheetData>
    <row r="2" spans="2:19" ht="14.7" thickBot="1" x14ac:dyDescent="0.6">
      <c r="B2" s="61" t="s">
        <v>47</v>
      </c>
      <c r="C2" s="62"/>
      <c r="D2" s="62"/>
      <c r="E2" s="62"/>
      <c r="F2" s="62"/>
      <c r="G2" s="62"/>
      <c r="H2" s="62"/>
      <c r="I2" s="62"/>
      <c r="J2" s="62"/>
      <c r="K2" s="62"/>
      <c r="L2" s="62"/>
      <c r="M2" s="62"/>
      <c r="N2" s="62"/>
    </row>
    <row r="4" spans="2:19" x14ac:dyDescent="0.55000000000000004">
      <c r="B4" s="92" t="s">
        <v>48</v>
      </c>
      <c r="C4" s="117">
        <v>315</v>
      </c>
      <c r="D4" s="63" t="s">
        <v>49</v>
      </c>
      <c r="G4" s="92" t="s">
        <v>82</v>
      </c>
      <c r="H4" s="117">
        <v>50</v>
      </c>
      <c r="I4" s="63" t="s">
        <v>49</v>
      </c>
      <c r="K4" s="92" t="s">
        <v>83</v>
      </c>
      <c r="L4" s="91">
        <v>720</v>
      </c>
      <c r="M4" s="63" t="s">
        <v>49</v>
      </c>
      <c r="O4" s="63" t="s">
        <v>79</v>
      </c>
      <c r="P4" s="71"/>
      <c r="Q4" s="71"/>
      <c r="R4" s="71"/>
      <c r="S4" s="76">
        <v>2.29</v>
      </c>
    </row>
    <row r="5" spans="2:19" x14ac:dyDescent="0.55000000000000004">
      <c r="B5" s="63" t="s">
        <v>52</v>
      </c>
      <c r="C5" s="79">
        <f>23000</f>
        <v>23000</v>
      </c>
      <c r="G5" s="63" t="s">
        <v>90</v>
      </c>
      <c r="H5" s="91">
        <v>1400</v>
      </c>
      <c r="K5" s="63" t="s">
        <v>90</v>
      </c>
      <c r="L5" s="91">
        <v>750</v>
      </c>
      <c r="O5" s="63" t="s">
        <v>80</v>
      </c>
      <c r="P5" s="71"/>
      <c r="Q5" s="71"/>
      <c r="R5" s="71"/>
      <c r="S5" s="76">
        <v>1.2</v>
      </c>
    </row>
    <row r="6" spans="2:19" x14ac:dyDescent="0.55000000000000004">
      <c r="B6" s="63" t="s">
        <v>84</v>
      </c>
      <c r="C6" s="63">
        <f>C5/C4</f>
        <v>73.015873015873012</v>
      </c>
      <c r="D6" s="63" t="s">
        <v>10</v>
      </c>
      <c r="G6" s="63" t="s">
        <v>91</v>
      </c>
      <c r="H6" s="91">
        <v>28</v>
      </c>
      <c r="K6" s="63" t="s">
        <v>91</v>
      </c>
      <c r="L6" s="91">
        <v>18</v>
      </c>
      <c r="O6" s="63" t="s">
        <v>76</v>
      </c>
      <c r="P6" s="77">
        <v>2.2046226199999999</v>
      </c>
    </row>
    <row r="7" spans="2:19" x14ac:dyDescent="0.55000000000000004">
      <c r="C7" s="63">
        <f>C6/2.2046</f>
        <v>33.119782734225261</v>
      </c>
      <c r="D7" s="63" t="s">
        <v>85</v>
      </c>
      <c r="G7" s="63" t="s">
        <v>92</v>
      </c>
      <c r="H7" s="63">
        <f>H6/2.2046</f>
        <v>12.700716683298557</v>
      </c>
      <c r="K7" s="63" t="s">
        <v>92</v>
      </c>
      <c r="L7" s="63">
        <f>L6/2.2046</f>
        <v>8.1647464392633573</v>
      </c>
      <c r="O7" s="63" t="s">
        <v>77</v>
      </c>
      <c r="P7" s="77">
        <v>453.59237000000002</v>
      </c>
    </row>
    <row r="8" spans="2:19" x14ac:dyDescent="0.55000000000000004">
      <c r="B8" s="277" t="s">
        <v>53</v>
      </c>
      <c r="C8" s="277"/>
      <c r="D8" s="277"/>
      <c r="E8" s="277"/>
      <c r="F8" s="65"/>
      <c r="G8" s="74"/>
      <c r="H8" s="74"/>
      <c r="I8" s="65"/>
      <c r="J8" s="65"/>
      <c r="O8" s="63" t="s">
        <v>78</v>
      </c>
      <c r="P8" s="78">
        <v>8</v>
      </c>
    </row>
    <row r="9" spans="2:19" x14ac:dyDescent="0.55000000000000004">
      <c r="B9" s="65"/>
      <c r="C9" s="65"/>
      <c r="D9" s="65" t="s">
        <v>54</v>
      </c>
      <c r="E9" s="65" t="s">
        <v>55</v>
      </c>
      <c r="F9" s="65"/>
      <c r="G9" s="74"/>
      <c r="H9" s="74"/>
      <c r="I9" s="65"/>
      <c r="J9" s="65"/>
    </row>
    <row r="10" spans="2:19" x14ac:dyDescent="0.55000000000000004">
      <c r="B10" s="63" t="s">
        <v>56</v>
      </c>
      <c r="C10" s="66">
        <f>$D10+C7*$E10</f>
        <v>422.53556661468303</v>
      </c>
      <c r="D10" s="67">
        <v>283.3</v>
      </c>
      <c r="E10" s="67">
        <v>4.2039999999999997</v>
      </c>
      <c r="F10" s="90"/>
      <c r="H10" s="68">
        <v>0.13500000000000001</v>
      </c>
      <c r="I10" s="69" t="s">
        <v>57</v>
      </c>
      <c r="L10" s="68">
        <v>0.12</v>
      </c>
    </row>
    <row r="11" spans="2:19" x14ac:dyDescent="0.55000000000000004">
      <c r="B11" s="63" t="s">
        <v>58</v>
      </c>
      <c r="C11" s="66">
        <f>$D11+C7*$E11</f>
        <v>71.616592053556133</v>
      </c>
      <c r="D11" s="67">
        <v>46.015000000000001</v>
      </c>
      <c r="E11" s="67">
        <v>0.77300000000000002</v>
      </c>
      <c r="F11" s="90"/>
      <c r="H11" s="68">
        <v>2.5000000000000001E-3</v>
      </c>
      <c r="I11" s="69" t="s">
        <v>59</v>
      </c>
      <c r="L11" s="68">
        <v>3.0000000000000001E-3</v>
      </c>
    </row>
    <row r="12" spans="2:19" x14ac:dyDescent="0.55000000000000004">
      <c r="B12" s="63" t="s">
        <v>60</v>
      </c>
      <c r="C12" s="66">
        <f>$D12+C7*$E12</f>
        <v>90.769608921605467</v>
      </c>
      <c r="D12" s="67">
        <v>31.154</v>
      </c>
      <c r="E12" s="67">
        <v>1.8</v>
      </c>
      <c r="F12" s="90"/>
      <c r="H12" s="68">
        <v>6.4999999999999997E-3</v>
      </c>
      <c r="I12" s="69" t="s">
        <v>61</v>
      </c>
      <c r="L12" s="68">
        <v>0</v>
      </c>
    </row>
    <row r="13" spans="2:19" x14ac:dyDescent="0.55000000000000004">
      <c r="C13" s="66"/>
      <c r="D13" s="70"/>
      <c r="E13" s="70"/>
      <c r="F13" s="70"/>
    </row>
    <row r="14" spans="2:19" x14ac:dyDescent="0.55000000000000004">
      <c r="B14" s="63" t="s">
        <v>62</v>
      </c>
      <c r="C14" s="72">
        <f>C10/453.5924</f>
        <v>0.93153140708416415</v>
      </c>
      <c r="D14" s="73"/>
      <c r="E14" s="73"/>
      <c r="F14" s="73"/>
      <c r="H14" s="63">
        <f>(H7*12.747+H10*1606.29-117.5)/453.5924</f>
        <v>0.57594700784670716</v>
      </c>
      <c r="I14" s="277" t="s">
        <v>62</v>
      </c>
      <c r="J14" s="277"/>
      <c r="K14" s="277"/>
      <c r="L14" s="63">
        <f>((L7*1000*L10)/6.25)/453.5924</f>
        <v>0.345603523414097</v>
      </c>
    </row>
    <row r="15" spans="2:19" x14ac:dyDescent="0.55000000000000004">
      <c r="B15" s="63" t="s">
        <v>63</v>
      </c>
      <c r="C15" s="72">
        <f t="shared" ref="C15:C16" si="0">C11/453.5924</f>
        <v>0.1578875484985113</v>
      </c>
      <c r="D15" s="73"/>
      <c r="E15" s="73"/>
      <c r="F15" s="73"/>
      <c r="H15" s="63">
        <f>(((H7*1000)*H11*H4-264.386)/H4)/453.5924</f>
        <v>5.8343287295480245E-2</v>
      </c>
      <c r="I15" s="277" t="s">
        <v>63</v>
      </c>
      <c r="J15" s="277"/>
      <c r="K15" s="277"/>
      <c r="L15" s="63">
        <f>((L7*1000)*L11)/453.5924</f>
        <v>5.4000550533452658E-2</v>
      </c>
    </row>
    <row r="16" spans="2:19" x14ac:dyDescent="0.55000000000000004">
      <c r="B16" s="63" t="s">
        <v>64</v>
      </c>
      <c r="C16" s="72">
        <f t="shared" si="0"/>
        <v>0.200112719969747</v>
      </c>
      <c r="D16" s="73"/>
      <c r="E16" s="73"/>
      <c r="F16" s="73"/>
      <c r="H16" s="63">
        <f>(H7*1000*H12)/453.5924</f>
        <v>0.18200185550163672</v>
      </c>
      <c r="I16" s="277" t="s">
        <v>64</v>
      </c>
      <c r="J16" s="277"/>
      <c r="K16" s="277"/>
      <c r="L16" s="63">
        <f>(L7*1000*L12)/453.5924</f>
        <v>0</v>
      </c>
    </row>
    <row r="18" spans="2:12" x14ac:dyDescent="0.55000000000000004">
      <c r="B18" s="74" t="s">
        <v>65</v>
      </c>
      <c r="C18" s="75"/>
      <c r="D18" s="75"/>
      <c r="E18" s="75"/>
      <c r="F18" s="75"/>
      <c r="G18" s="75"/>
      <c r="H18" s="75"/>
    </row>
    <row r="19" spans="2:12" x14ac:dyDescent="0.55000000000000004">
      <c r="B19" s="63" t="s">
        <v>66</v>
      </c>
      <c r="C19" s="66">
        <f>C14*$C$4</f>
        <v>293.4323932315117</v>
      </c>
    </row>
    <row r="20" spans="2:12" x14ac:dyDescent="0.55000000000000004">
      <c r="B20" s="63" t="s">
        <v>67</v>
      </c>
      <c r="C20" s="66">
        <f>C15*$C$4*S4</f>
        <v>113.89218310940113</v>
      </c>
    </row>
    <row r="21" spans="2:12" x14ac:dyDescent="0.55000000000000004">
      <c r="B21" s="63" t="s">
        <v>68</v>
      </c>
      <c r="C21" s="66">
        <f>C16*$C$4*S5</f>
        <v>75.642608148564364</v>
      </c>
    </row>
    <row r="23" spans="2:12" x14ac:dyDescent="0.55000000000000004">
      <c r="B23" s="277" t="s">
        <v>69</v>
      </c>
      <c r="C23" s="277"/>
      <c r="D23" s="277"/>
      <c r="E23" s="74"/>
      <c r="F23" s="74"/>
      <c r="G23" s="74"/>
      <c r="H23" s="277" t="s">
        <v>69</v>
      </c>
      <c r="I23" s="277"/>
      <c r="J23" s="277"/>
      <c r="K23" s="277"/>
      <c r="L23" s="277"/>
    </row>
    <row r="24" spans="2:12" x14ac:dyDescent="0.55000000000000004">
      <c r="B24" s="65"/>
      <c r="C24" s="65" t="s">
        <v>50</v>
      </c>
      <c r="D24" s="65" t="s">
        <v>51</v>
      </c>
      <c r="E24" s="65"/>
      <c r="F24" s="65"/>
      <c r="G24" s="65"/>
      <c r="H24" s="64">
        <v>25</v>
      </c>
      <c r="L24" s="64">
        <v>20</v>
      </c>
    </row>
    <row r="25" spans="2:12" x14ac:dyDescent="0.55000000000000004">
      <c r="B25" s="63" t="s">
        <v>70</v>
      </c>
      <c r="C25" s="80">
        <v>0.4</v>
      </c>
      <c r="D25" s="80">
        <v>0.2</v>
      </c>
      <c r="H25" s="64">
        <v>90</v>
      </c>
      <c r="L25" s="64">
        <v>90</v>
      </c>
    </row>
    <row r="26" spans="2:12" x14ac:dyDescent="0.55000000000000004">
      <c r="B26" s="63" t="s">
        <v>71</v>
      </c>
      <c r="C26" s="80">
        <v>0.9</v>
      </c>
      <c r="D26" s="80">
        <v>0.9</v>
      </c>
      <c r="H26" s="64">
        <v>90</v>
      </c>
      <c r="L26" s="64">
        <v>90</v>
      </c>
    </row>
    <row r="27" spans="2:12" x14ac:dyDescent="0.55000000000000004">
      <c r="B27" s="63" t="s">
        <v>72</v>
      </c>
      <c r="C27" s="80">
        <v>0.9</v>
      </c>
      <c r="D27" s="80">
        <v>0.9</v>
      </c>
    </row>
    <row r="29" spans="2:12" x14ac:dyDescent="0.55000000000000004">
      <c r="B29" s="277" t="s">
        <v>73</v>
      </c>
      <c r="C29" s="277"/>
      <c r="D29" s="277"/>
      <c r="E29" s="277"/>
      <c r="F29" s="277"/>
      <c r="G29" s="74"/>
      <c r="H29" s="277" t="s">
        <v>73</v>
      </c>
      <c r="I29" s="277"/>
      <c r="J29" s="277"/>
      <c r="K29" s="277"/>
      <c r="L29" s="277"/>
    </row>
    <row r="30" spans="2:12" x14ac:dyDescent="0.55000000000000004">
      <c r="B30" s="65"/>
      <c r="C30" s="65" t="s">
        <v>50</v>
      </c>
      <c r="D30" s="65" t="s">
        <v>51</v>
      </c>
      <c r="E30" s="65"/>
      <c r="F30" s="65"/>
      <c r="G30" s="65"/>
      <c r="H30" s="65"/>
    </row>
    <row r="31" spans="2:12" x14ac:dyDescent="0.55000000000000004">
      <c r="B31" s="63" t="s">
        <v>70</v>
      </c>
      <c r="C31" s="66">
        <f>C19*C25</f>
        <v>117.37295729260468</v>
      </c>
      <c r="D31" s="66">
        <f>D25*C19</f>
        <v>58.686478646302341</v>
      </c>
      <c r="H31" s="63">
        <f>H14*H24/100*H4</f>
        <v>7.1993375980838392</v>
      </c>
      <c r="L31" s="63">
        <f>L14*L24/100*L4</f>
        <v>49.766907371629969</v>
      </c>
    </row>
    <row r="32" spans="2:12" x14ac:dyDescent="0.55000000000000004">
      <c r="B32" s="63" t="s">
        <v>74</v>
      </c>
      <c r="C32" s="66">
        <f>C20*C26</f>
        <v>102.50296479846102</v>
      </c>
      <c r="D32" s="66">
        <f t="shared" ref="D32:D33" si="1">D26*C20</f>
        <v>102.50296479846102</v>
      </c>
      <c r="H32" s="63">
        <f>H15*H25/100*H4*S4</f>
        <v>6.012275755799239</v>
      </c>
      <c r="L32" s="63">
        <f>L15*L25/100*L4*S4</f>
        <v>80.132496947601069</v>
      </c>
    </row>
    <row r="33" spans="2:12" x14ac:dyDescent="0.55000000000000004">
      <c r="B33" s="63" t="s">
        <v>75</v>
      </c>
      <c r="C33" s="66">
        <f>C27*C21</f>
        <v>68.078347333707924</v>
      </c>
      <c r="D33" s="66">
        <f t="shared" si="1"/>
        <v>68.078347333707924</v>
      </c>
      <c r="H33" s="63">
        <f>H16*H26/100*H4*S5</f>
        <v>9.8281001970883839</v>
      </c>
      <c r="L33" s="63">
        <f>L16*L26/100*L4*S5</f>
        <v>0</v>
      </c>
    </row>
    <row r="35" spans="2:12" ht="33.75" customHeight="1" x14ac:dyDescent="0.55000000000000004">
      <c r="C35" s="63" t="s">
        <v>0</v>
      </c>
      <c r="D35" s="63" t="s">
        <v>81</v>
      </c>
      <c r="E35" s="94" t="s">
        <v>93</v>
      </c>
      <c r="F35" s="94"/>
      <c r="G35" s="94" t="s">
        <v>94</v>
      </c>
      <c r="H35" s="63" t="s">
        <v>83</v>
      </c>
    </row>
    <row r="36" spans="2:12" ht="15.6" x14ac:dyDescent="0.6">
      <c r="B36" s="81" t="s">
        <v>86</v>
      </c>
      <c r="C36" s="82">
        <v>0.38</v>
      </c>
      <c r="D36" s="83">
        <v>0.93899999999999995</v>
      </c>
      <c r="E36" s="84">
        <f>C31+H31</f>
        <v>124.57229489068853</v>
      </c>
      <c r="F36" s="84"/>
      <c r="G36" s="93">
        <f>D31+H31</f>
        <v>65.885816244386177</v>
      </c>
      <c r="H36" s="63">
        <f>L31/L4*365</f>
        <v>25.229057209229083</v>
      </c>
    </row>
    <row r="37" spans="2:12" ht="15.6" x14ac:dyDescent="0.6">
      <c r="B37" s="81" t="s">
        <v>87</v>
      </c>
      <c r="C37" s="82">
        <v>0.75</v>
      </c>
      <c r="D37" s="83">
        <v>0.93899999999999995</v>
      </c>
      <c r="E37" s="84">
        <f t="shared" ref="E37:E38" si="2">C32+H32</f>
        <v>108.51524055426026</v>
      </c>
      <c r="F37" s="84"/>
      <c r="G37" s="93">
        <f t="shared" ref="G37:G38" si="3">D32+H32</f>
        <v>108.51524055426026</v>
      </c>
      <c r="H37" s="63">
        <f>L32/L4*365</f>
        <v>40.622724147047762</v>
      </c>
    </row>
    <row r="38" spans="2:12" ht="15.6" x14ac:dyDescent="0.6">
      <c r="B38" s="81" t="s">
        <v>88</v>
      </c>
      <c r="C38" s="82">
        <v>0.4</v>
      </c>
      <c r="D38" s="83">
        <v>0</v>
      </c>
      <c r="E38" s="84">
        <f t="shared" si="2"/>
        <v>77.906447530796314</v>
      </c>
      <c r="F38" s="84"/>
      <c r="G38" s="93">
        <f t="shared" si="3"/>
        <v>77.906447530796314</v>
      </c>
      <c r="H38" s="63">
        <f>L33</f>
        <v>0</v>
      </c>
    </row>
    <row r="39" spans="2:12" ht="15.6" x14ac:dyDescent="0.6">
      <c r="B39" s="85" t="s">
        <v>89</v>
      </c>
      <c r="C39" s="86">
        <v>0</v>
      </c>
      <c r="D39" s="87">
        <v>1</v>
      </c>
      <c r="E39" s="88">
        <f>(C6*2.9133*(C4/P8))+((H5/17.73)*(H4/P8))</f>
        <v>8869.2513183869141</v>
      </c>
      <c r="F39" s="89"/>
      <c r="G39" s="93">
        <f>(C6*2.9133*(C4/P8))+((H5/17.73)*(H4/P8))</f>
        <v>8869.2513183869141</v>
      </c>
      <c r="H39" s="63">
        <f>4750/L4*365</f>
        <v>2407.9861111111113</v>
      </c>
    </row>
    <row r="41" spans="2:12" x14ac:dyDescent="0.55000000000000004">
      <c r="D41" s="63" t="s">
        <v>95</v>
      </c>
      <c r="E41" s="96">
        <f>C36*D36*E36</f>
        <v>44.449886262895475</v>
      </c>
      <c r="G41" s="96">
        <f>C36*D36*G36</f>
        <v>23.509376952321873</v>
      </c>
      <c r="H41" s="96">
        <f>C36*D36*H36</f>
        <v>9.0022321933971199</v>
      </c>
    </row>
    <row r="42" spans="2:12" x14ac:dyDescent="0.55000000000000004">
      <c r="D42" s="63" t="s">
        <v>96</v>
      </c>
      <c r="E42" s="96">
        <f>C37*D37*E37</f>
        <v>76.421858160337777</v>
      </c>
      <c r="G42" s="96">
        <f>C37*D37*G37</f>
        <v>76.421858160337777</v>
      </c>
      <c r="H42" s="96">
        <f>C37*D37*H37</f>
        <v>28.608553480558385</v>
      </c>
    </row>
    <row r="43" spans="2:12" x14ac:dyDescent="0.55000000000000004">
      <c r="D43" s="63" t="s">
        <v>97</v>
      </c>
      <c r="E43" s="95">
        <f>C38*D38*E38</f>
        <v>0</v>
      </c>
      <c r="G43" s="96">
        <f>C38*D38*G38</f>
        <v>0</v>
      </c>
      <c r="H43" s="63">
        <v>0</v>
      </c>
    </row>
    <row r="44" spans="2:12" x14ac:dyDescent="0.55000000000000004">
      <c r="D44" s="63" t="s">
        <v>98</v>
      </c>
      <c r="E44" s="96">
        <f>C39*D39*E39</f>
        <v>0</v>
      </c>
      <c r="G44" s="96">
        <f>C39*D39*G39</f>
        <v>0</v>
      </c>
      <c r="H44" s="96">
        <f>C39*D39*H39</f>
        <v>0</v>
      </c>
    </row>
    <row r="45" spans="2:12" x14ac:dyDescent="0.55000000000000004">
      <c r="D45" s="63" t="s">
        <v>99</v>
      </c>
      <c r="E45" s="96">
        <f>E41+E42+E43-E44</f>
        <v>120.87174442323325</v>
      </c>
      <c r="F45" s="96"/>
      <c r="G45" s="96">
        <f>G41+G42+G43-G44</f>
        <v>99.93123511265965</v>
      </c>
      <c r="H45" s="96">
        <f>H41+H42-H44</f>
        <v>37.610785673955505</v>
      </c>
    </row>
    <row r="46" spans="2:12" x14ac:dyDescent="0.55000000000000004">
      <c r="D46" s="63" t="s">
        <v>211</v>
      </c>
      <c r="E46" s="63" t="s">
        <v>246</v>
      </c>
      <c r="H46" s="63" t="s">
        <v>247</v>
      </c>
    </row>
  </sheetData>
  <mergeCells count="8">
    <mergeCell ref="H29:L29"/>
    <mergeCell ref="B8:E8"/>
    <mergeCell ref="I14:K14"/>
    <mergeCell ref="I15:K15"/>
    <mergeCell ref="I16:K16"/>
    <mergeCell ref="B23:D23"/>
    <mergeCell ref="H23:L23"/>
    <mergeCell ref="B29:F2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Prices</vt:lpstr>
      <vt:lpstr>Cow Milking-Purchased Replmts</vt:lpstr>
      <vt:lpstr>Cow Milking-Raised Replmts</vt:lpstr>
      <vt:lpstr>Replacement Heifers</vt:lpstr>
      <vt:lpstr>Heifer Costs WI Report</vt:lpstr>
      <vt:lpstr>Costs</vt:lpstr>
      <vt:lpstr>Manure Credit</vt:lpstr>
      <vt:lpstr>Prices</vt:lpstr>
      <vt:lpstr>'Cow Milking-Purchased Replmts'!Print_Area</vt:lpstr>
      <vt:lpstr>'Cow Milking-Raised Replmts'!Print_Area</vt:lpstr>
      <vt:lpstr>Introduction!Print_Area</vt:lpstr>
      <vt:lpstr>'Replacement Heifers'!Print_Area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robinreid</dc:creator>
  <cp:lastModifiedBy>RobinReid</cp:lastModifiedBy>
  <cp:lastPrinted>2018-12-03T20:50:23Z</cp:lastPrinted>
  <dcterms:created xsi:type="dcterms:W3CDTF">2015-03-23T18:41:11Z</dcterms:created>
  <dcterms:modified xsi:type="dcterms:W3CDTF">2019-12-18T16:35:54Z</dcterms:modified>
</cp:coreProperties>
</file>