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RobinReid\Documents\Decision Tool Updates\"/>
    </mc:Choice>
  </mc:AlternateContent>
  <xr:revisionPtr revIDLastSave="0" documentId="13_ncr:1_{627E7F5C-7A6D-4761-BF94-DAD79C82BF07}" xr6:coauthVersionLast="45" xr6:coauthVersionMax="45" xr10:uidLastSave="{00000000-0000-0000-0000-000000000000}"/>
  <bookViews>
    <workbookView xWindow="57480" yWindow="-120" windowWidth="29040" windowHeight="15225" xr2:uid="{00000000-000D-0000-FFFF-FFFF00000000}"/>
  </bookViews>
  <sheets>
    <sheet name="Intro" sheetId="3" r:id="rId1"/>
    <sheet name="Compare Options" sheetId="1" r:id="rId2"/>
    <sheet name="Input + Harvest Cost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1" l="1"/>
  <c r="D21" i="1" l="1"/>
  <c r="K17" i="1"/>
  <c r="N8" i="1"/>
  <c r="K8" i="1"/>
  <c r="H6" i="1"/>
  <c r="P29" i="2"/>
  <c r="P20" i="2"/>
  <c r="T20" i="2"/>
  <c r="H29" i="2"/>
  <c r="H20" i="2"/>
  <c r="N39" i="1"/>
  <c r="N37" i="1"/>
  <c r="K39" i="1"/>
  <c r="T12" i="2"/>
  <c r="T11" i="2"/>
  <c r="D30" i="2"/>
  <c r="D29" i="2"/>
  <c r="D20" i="2"/>
  <c r="P27" i="2"/>
  <c r="L27" i="2"/>
  <c r="H27" i="2"/>
  <c r="D27" i="2"/>
  <c r="T38" i="2"/>
  <c r="T39" i="2" s="1"/>
  <c r="T36" i="2"/>
  <c r="P36" i="2"/>
  <c r="P38" i="2"/>
  <c r="P39" i="2" s="1"/>
  <c r="K37" i="1" s="1"/>
  <c r="L36" i="2"/>
  <c r="H36" i="2"/>
  <c r="T29" i="2"/>
  <c r="T25" i="2"/>
  <c r="T10" i="2"/>
  <c r="T7" i="2"/>
  <c r="N15" i="1"/>
  <c r="N17" i="1" s="1"/>
  <c r="N38" i="1"/>
  <c r="K10" i="1"/>
  <c r="N31" i="1"/>
  <c r="N30" i="1"/>
  <c r="K31" i="1"/>
  <c r="K33" i="1" s="1"/>
  <c r="P21" i="2" l="1"/>
  <c r="K35" i="1" s="1"/>
  <c r="T21" i="2"/>
  <c r="N35" i="1" s="1"/>
  <c r="H16" i="1"/>
  <c r="H10" i="2" l="1"/>
  <c r="H17" i="1" l="1"/>
  <c r="D36" i="2"/>
  <c r="N7" i="1"/>
  <c r="D5" i="1"/>
  <c r="D7" i="1" s="1"/>
  <c r="H8" i="1" l="1"/>
  <c r="N16" i="1"/>
  <c r="L29" i="2"/>
  <c r="L25" i="2"/>
  <c r="L20" i="2"/>
  <c r="L10" i="2"/>
  <c r="L7" i="2"/>
  <c r="H30" i="2"/>
  <c r="H21" i="2"/>
  <c r="D21" i="2"/>
  <c r="P30" i="2" l="1"/>
  <c r="K36" i="1" s="1"/>
  <c r="K40" i="1" s="1"/>
  <c r="K42" i="1" s="1"/>
  <c r="T27" i="2"/>
  <c r="T30" i="2" s="1"/>
  <c r="N36" i="1" s="1"/>
  <c r="N40" i="1" s="1"/>
  <c r="L30" i="2"/>
  <c r="L21" i="2"/>
  <c r="N13" i="1" l="1"/>
  <c r="N12" i="1"/>
  <c r="K16" i="1"/>
  <c r="K13" i="1"/>
  <c r="K12" i="1"/>
  <c r="L38" i="2"/>
  <c r="H38" i="2"/>
  <c r="H39" i="2" l="1"/>
  <c r="K14" i="1" s="1"/>
  <c r="L39" i="2"/>
  <c r="N14" i="1" s="1"/>
  <c r="H23" i="1"/>
  <c r="H21" i="1"/>
  <c r="K19" i="1" l="1"/>
  <c r="H12" i="1"/>
  <c r="H13" i="1" s="1"/>
  <c r="H18" i="1" s="1"/>
  <c r="H20" i="1"/>
  <c r="D38" i="2"/>
  <c r="D39" i="2" s="1"/>
  <c r="H22" i="1" l="1"/>
  <c r="H24" i="1" l="1"/>
  <c r="D34" i="1"/>
  <c r="D23" i="1"/>
  <c r="D31" i="1"/>
  <c r="N9" i="1" l="1"/>
  <c r="N10" i="1" s="1"/>
  <c r="N19" i="1" s="1"/>
  <c r="N32" i="1"/>
  <c r="N33" i="1" s="1"/>
  <c r="N42" i="1" s="1"/>
  <c r="D35" i="1"/>
  <c r="D24" i="1"/>
  <c r="H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RobinReid</author>
  </authors>
  <commentList>
    <comment ref="D20" authorId="0" shapeId="0" xr:uid="{81DB96D4-3712-4D26-9C15-4CC657E37E1D}">
      <text>
        <r>
          <rPr>
            <b/>
            <sz val="9"/>
            <color indexed="81"/>
            <rFont val="Tahoma"/>
            <family val="2"/>
          </rPr>
          <t>Default assumes that $27.45 of fertilizer was already applied and $10.63 in burn down  chemicals</t>
        </r>
      </text>
    </comment>
    <comment ref="H20" authorId="0" shapeId="0" xr:uid="{178C3D84-41C6-44CC-9E58-58D404616EBE}">
      <text>
        <r>
          <rPr>
            <b/>
            <sz val="9"/>
            <color indexed="81"/>
            <rFont val="Tahoma"/>
            <family val="2"/>
          </rPr>
          <t>Cost of burndown chemicals</t>
        </r>
        <r>
          <rPr>
            <sz val="9"/>
            <color indexed="81"/>
            <rFont val="Tahoma"/>
            <family val="2"/>
          </rPr>
          <t xml:space="preserve">
</t>
        </r>
      </text>
    </comment>
    <comment ref="D29" authorId="0" shapeId="0" xr:uid="{AE9D8268-41D1-4F55-B831-7B5AA50B61E1}">
      <text>
        <r>
          <rPr>
            <b/>
            <sz val="9"/>
            <color indexed="81"/>
            <rFont val="Tahoma"/>
            <family val="2"/>
          </rPr>
          <t>Assumes fertilizer application and 1/3 of the spraying cost application has already occured</t>
        </r>
        <r>
          <rPr>
            <sz val="9"/>
            <color indexed="81"/>
            <rFont val="Tahoma"/>
            <family val="2"/>
          </rPr>
          <t xml:space="preserve">
</t>
        </r>
      </text>
    </comment>
    <comment ref="H29" authorId="0" shapeId="0" xr:uid="{F5C8D200-5208-4909-8038-98DBC51DE6CD}">
      <text>
        <r>
          <rPr>
            <b/>
            <sz val="9"/>
            <color indexed="81"/>
            <rFont val="Tahoma"/>
            <family val="2"/>
          </rPr>
          <t>Cost of one chemical application</t>
        </r>
      </text>
    </comment>
  </commentList>
</comments>
</file>

<file path=xl/sharedStrings.xml><?xml version="1.0" encoding="utf-8"?>
<sst xmlns="http://schemas.openxmlformats.org/spreadsheetml/2006/main" count="315" uniqueCount="112">
  <si>
    <t>APH yield (bu per acre)</t>
  </si>
  <si>
    <t>Projected Price ($ per bu)</t>
  </si>
  <si>
    <t>Final Planting Date</t>
  </si>
  <si>
    <t>Prevented Planting payment</t>
  </si>
  <si>
    <t>Crop insurance premium</t>
  </si>
  <si>
    <t>Net returns ($ per acre)</t>
  </si>
  <si>
    <t>Weed control costs per acre</t>
  </si>
  <si>
    <t>Crop insurance premium per acre</t>
  </si>
  <si>
    <t>OPTION 1</t>
  </si>
  <si>
    <t>Full Prevented Planting Payment, No Cover Crop</t>
  </si>
  <si>
    <t>Planting cost for cover crop</t>
  </si>
  <si>
    <t>Planting date</t>
  </si>
  <si>
    <t>Expected yield, (bu per acre)</t>
  </si>
  <si>
    <t>Prevented Planting payment factor</t>
  </si>
  <si>
    <t>Adjusted production guarantee, bu/a</t>
  </si>
  <si>
    <t>Percent reduction in expected yield</t>
  </si>
  <si>
    <t>Expected cash price, $ per bu</t>
  </si>
  <si>
    <t>Expected crop revenue, $ per acre</t>
  </si>
  <si>
    <t>Crop insurance payment</t>
  </si>
  <si>
    <t>Expected Harvest Price for insurance</t>
  </si>
  <si>
    <t>Adjusted revenue guarantee, $/acre</t>
  </si>
  <si>
    <t>Total revenue, $ per acre</t>
  </si>
  <si>
    <t>Input costs, $ per acre</t>
  </si>
  <si>
    <t>Harvesting costs</t>
  </si>
  <si>
    <t>Total expenses</t>
  </si>
  <si>
    <t>Crop insurance premium, $ per acre</t>
  </si>
  <si>
    <t>Seed</t>
  </si>
  <si>
    <t>Fertilizer less lime</t>
  </si>
  <si>
    <t xml:space="preserve">   --Lime</t>
  </si>
  <si>
    <t>Herbicides</t>
  </si>
  <si>
    <t xml:space="preserve">   --Burndown</t>
  </si>
  <si>
    <t xml:space="preserve">   --Pre-emergence</t>
  </si>
  <si>
    <t xml:space="preserve">   --Post-emergence</t>
  </si>
  <si>
    <t>Fungicides</t>
  </si>
  <si>
    <t>Insecticides</t>
  </si>
  <si>
    <t>Crop consulting</t>
  </si>
  <si>
    <t xml:space="preserve">   --planting</t>
  </si>
  <si>
    <t xml:space="preserve">   --fertilizer application</t>
  </si>
  <si>
    <t xml:space="preserve">   --tillage</t>
  </si>
  <si>
    <t xml:space="preserve">   --spraying</t>
  </si>
  <si>
    <t xml:space="preserve">   --drying and other</t>
  </si>
  <si>
    <t>Crop insurance</t>
  </si>
  <si>
    <t>Labor (beyond custom field operations)</t>
  </si>
  <si>
    <t>Miscellaneous</t>
  </si>
  <si>
    <t>Other variable expenses</t>
  </si>
  <si>
    <t>Interest on variable expenses</t>
  </si>
  <si>
    <t>Custom harvesting</t>
  </si>
  <si>
    <t>Direct input costs</t>
  </si>
  <si>
    <t>Machinery &amp; field operations</t>
  </si>
  <si>
    <t xml:space="preserve">   --extra harvest charge per bushel</t>
  </si>
  <si>
    <t xml:space="preserve">   --extra yield threshold, bu/a</t>
  </si>
  <si>
    <t>HARVESTING COSTS</t>
  </si>
  <si>
    <t>MACHINERY &amp; FIELD OPERATIONS, custom rates</t>
  </si>
  <si>
    <t>extra yield charge, $ per acre</t>
  </si>
  <si>
    <t xml:space="preserve">   --hauling charge per bushel</t>
  </si>
  <si>
    <t>total hauling charge</t>
  </si>
  <si>
    <t>base harvesting charge</t>
  </si>
  <si>
    <t>DIRECT INPUT COSTS</t>
  </si>
  <si>
    <t>Insurance guarantee level</t>
  </si>
  <si>
    <t>CORN</t>
  </si>
  <si>
    <t>SOYBEANS</t>
  </si>
  <si>
    <t>normal</t>
  </si>
  <si>
    <t>planting</t>
  </si>
  <si>
    <t>date</t>
  </si>
  <si>
    <t>late</t>
  </si>
  <si>
    <t>Crop insurance payment (35% of normal PP)</t>
  </si>
  <si>
    <t>Expected actual revenue for insurance</t>
  </si>
  <si>
    <t>less sunk costs</t>
  </si>
  <si>
    <t>35% of corn insurance premium</t>
  </si>
  <si>
    <t>Original Production Guarantee</t>
  </si>
  <si>
    <t>OPTION 2</t>
  </si>
  <si>
    <t>Full Prevented Planting Payment, Cover Crop Planted</t>
  </si>
  <si>
    <t xml:space="preserve">OPTION 3 </t>
  </si>
  <si>
    <t>OPTION 4</t>
  </si>
  <si>
    <t>Revenue guarantee ($ per acre)</t>
  </si>
  <si>
    <t>Returns from crop &amp; insurance</t>
  </si>
  <si>
    <t>Crop insurance payment (corn)</t>
  </si>
  <si>
    <t>OPTION 5</t>
  </si>
  <si>
    <t>Take 35% corn PP pmt, plant soybeans late</t>
  </si>
  <si>
    <t>Expected cash basis, $ per bu</t>
  </si>
  <si>
    <t>Corn planted late, skip PP payment</t>
  </si>
  <si>
    <t>Plant soybeans, skip corn PP payment</t>
  </si>
  <si>
    <t>INTRODUCTION</t>
  </si>
  <si>
    <t>INSTRUCTIONS FOR THE USER:</t>
  </si>
  <si>
    <t>FOR MORE INFORMATION:</t>
  </si>
  <si>
    <t>Kansas State University</t>
  </si>
  <si>
    <t>KSU-Prevented Planting on Corn</t>
  </si>
  <si>
    <t>An Excel spreadsheet for evaluating options due to prevented planting for corn, including late planting, taking prevented planting payments, or planting soybeans.</t>
  </si>
  <si>
    <t>Monte Vandeveer</t>
  </si>
  <si>
    <t>Southwest Area Economist</t>
  </si>
  <si>
    <t xml:space="preserve">NOTE:  All values on this sheet, except for bold "totals" for cost categories, can be changed by the user.  The "totals" (Direct input costs, Machinery and field operations, and Custom harvesting) are copied to the "Compare Options" page. </t>
  </si>
  <si>
    <t>Crop insurance premium (soybeans)*</t>
  </si>
  <si>
    <t>*Crop insurance premium for soybeans</t>
  </si>
  <si>
    <t>entered on "Input + Harvest Costs" page</t>
  </si>
  <si>
    <t>Version- 6.1.2021</t>
  </si>
  <si>
    <t>Copyright 2021 AgManager.info, K-State Department of Agricultural Economics</t>
  </si>
  <si>
    <t>Originally Developed by:</t>
  </si>
  <si>
    <t>Robin Reid</t>
  </si>
  <si>
    <t>Extension Farm Economist</t>
  </si>
  <si>
    <t>robinreid@ksu.edu</t>
  </si>
  <si>
    <t>785-532-0964</t>
  </si>
  <si>
    <t>*Enter Production Costs in "Input + Harvest Cost" Sheet*</t>
  </si>
  <si>
    <t>OPTION 6</t>
  </si>
  <si>
    <t>Plant grain sorghum, skip corn PP payment</t>
  </si>
  <si>
    <t>OPTION 7</t>
  </si>
  <si>
    <t>Take 35% corn PP pmt, plant grain sorghum late</t>
  </si>
  <si>
    <t>Grain Sorghum</t>
  </si>
  <si>
    <t>Crop insurance premium (grain sorghum)*</t>
  </si>
  <si>
    <t>*Crop insurance premium for grain sorghum</t>
  </si>
  <si>
    <t>Also, crop insurance premium for soybeans and grain sorghum are entered on this page and copied to the "Compare Options" page</t>
  </si>
  <si>
    <r>
      <t xml:space="preserve">Be sure to </t>
    </r>
    <r>
      <rPr>
        <b/>
        <sz val="12"/>
        <rFont val="Calibri"/>
        <family val="2"/>
        <scheme val="minor"/>
      </rPr>
      <t>"Enable Content"</t>
    </r>
    <r>
      <rPr>
        <sz val="12"/>
        <rFont val="Calibri"/>
        <family val="2"/>
        <scheme val="minor"/>
      </rPr>
      <t xml:space="preserve"> for the spreadsheet to function correctly.  </t>
    </r>
    <r>
      <rPr>
        <b/>
        <sz val="12"/>
        <color rgb="FF0000FF"/>
        <rFont val="Calibri"/>
        <family val="2"/>
        <scheme val="minor"/>
      </rPr>
      <t>Blue</t>
    </r>
    <r>
      <rPr>
        <sz val="12"/>
        <rFont val="Calibri"/>
        <family val="2"/>
        <scheme val="minor"/>
      </rPr>
      <t xml:space="preserve"> values are inputs that should be changed from the defaults to match your operation.  Black values are automatically calculated.</t>
    </r>
  </si>
  <si>
    <t xml:space="preserve">This tool was developed to assist producers facing a situation of prevented planting for corn in Kansas due to flooding and soil moisture conditions. Possible options include late planting of corn, planting soybeans, planting grain sorghum, taking prevented planting payments, and possible use of cover crops.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</si>
</sst>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
    <numFmt numFmtId="166" formatCode="&quot;$&quot;#,##0"/>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rgb="FF0070C0"/>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b/>
      <i/>
      <sz val="11"/>
      <color theme="1"/>
      <name val="Calibri"/>
      <family val="2"/>
      <scheme val="minor"/>
    </font>
    <font>
      <sz val="10"/>
      <name val="Arial"/>
      <family val="2"/>
    </font>
    <font>
      <b/>
      <sz val="12"/>
      <color theme="0"/>
      <name val="Arial"/>
      <family val="2"/>
    </font>
    <font>
      <b/>
      <i/>
      <sz val="20"/>
      <color theme="0"/>
      <name val="Calibri"/>
      <family val="2"/>
      <scheme val="minor"/>
    </font>
    <font>
      <sz val="18"/>
      <color theme="0"/>
      <name val="Calibri"/>
      <family val="2"/>
      <scheme val="minor"/>
    </font>
    <font>
      <b/>
      <sz val="12"/>
      <color theme="0"/>
      <name val="Calibri"/>
      <family val="2"/>
      <scheme val="minor"/>
    </font>
    <font>
      <b/>
      <i/>
      <sz val="13"/>
      <color theme="0"/>
      <name val="Calibri"/>
      <family val="2"/>
      <scheme val="minor"/>
    </font>
    <font>
      <i/>
      <sz val="13"/>
      <color theme="0"/>
      <name val="Calibri"/>
      <family val="2"/>
      <scheme val="minor"/>
    </font>
    <font>
      <sz val="13"/>
      <color theme="0"/>
      <name val="Calibri"/>
      <family val="2"/>
      <scheme val="minor"/>
    </font>
    <font>
      <sz val="10"/>
      <color theme="0"/>
      <name val="Arial"/>
      <family val="2"/>
    </font>
    <font>
      <b/>
      <sz val="9"/>
      <color theme="0"/>
      <name val="Arial"/>
      <family val="2"/>
    </font>
    <font>
      <b/>
      <sz val="11"/>
      <color theme="0"/>
      <name val="Arial"/>
      <family val="2"/>
    </font>
    <font>
      <b/>
      <i/>
      <sz val="12"/>
      <color theme="0"/>
      <name val="Arial"/>
      <family val="2"/>
    </font>
    <font>
      <b/>
      <u/>
      <sz val="12"/>
      <name val="Calibri"/>
      <family val="2"/>
      <scheme val="minor"/>
    </font>
    <font>
      <sz val="12"/>
      <name val="Calibri"/>
      <family val="2"/>
      <scheme val="minor"/>
    </font>
    <font>
      <b/>
      <sz val="12"/>
      <name val="Calibri"/>
      <family val="2"/>
      <scheme val="minor"/>
    </font>
    <font>
      <u/>
      <sz val="10"/>
      <color indexed="12"/>
      <name val="Arial"/>
      <family val="2"/>
    </font>
    <font>
      <u/>
      <sz val="12"/>
      <color indexed="12"/>
      <name val="Calibri"/>
      <family val="2"/>
      <scheme val="minor"/>
    </font>
    <font>
      <u/>
      <sz val="11"/>
      <color theme="10"/>
      <name val="Calibri"/>
      <family val="2"/>
      <scheme val="minor"/>
    </font>
    <font>
      <b/>
      <sz val="12"/>
      <color rgb="FF0000FF"/>
      <name val="Calibri"/>
      <family val="2"/>
      <scheme val="minor"/>
    </font>
    <font>
      <sz val="9"/>
      <color indexed="81"/>
      <name val="Tahoma"/>
      <family val="2"/>
    </font>
    <font>
      <b/>
      <sz val="9"/>
      <color indexed="81"/>
      <name val="Tahoma"/>
      <family val="2"/>
    </font>
  </fonts>
  <fills count="5">
    <fill>
      <patternFill patternType="none"/>
    </fill>
    <fill>
      <patternFill patternType="gray125"/>
    </fill>
    <fill>
      <patternFill patternType="solid">
        <fgColor theme="4" tint="0.79998168889431442"/>
        <bgColor indexed="64"/>
      </patternFill>
    </fill>
    <fill>
      <patternFill patternType="solid">
        <fgColor rgb="FF7030A0"/>
        <bgColor indexed="64"/>
      </patternFill>
    </fill>
    <fill>
      <patternFill patternType="solid">
        <fgColor theme="0"/>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6" fillId="0" borderId="0" applyNumberFormat="0" applyFill="0" applyBorder="0" applyAlignment="0" applyProtection="0"/>
  </cellStyleXfs>
  <cellXfs count="137">
    <xf numFmtId="0" fontId="0" fillId="0" borderId="0" xfId="0"/>
    <xf numFmtId="0" fontId="0" fillId="0" borderId="0" xfId="0" applyAlignment="1">
      <alignment horizontal="center"/>
    </xf>
    <xf numFmtId="164" fontId="0" fillId="0" borderId="0" xfId="0" applyNumberFormat="1"/>
    <xf numFmtId="0" fontId="0" fillId="0" borderId="0" xfId="0" quotePrefix="1" applyAlignment="1">
      <alignment horizontal="center"/>
    </xf>
    <xf numFmtId="164" fontId="0" fillId="0" borderId="0" xfId="0" applyNumberFormat="1" applyBorder="1"/>
    <xf numFmtId="0" fontId="0" fillId="0" borderId="0" xfId="0" applyBorder="1"/>
    <xf numFmtId="0" fontId="0" fillId="0" borderId="0" xfId="0" quotePrefix="1" applyAlignment="1">
      <alignment horizontal="right"/>
    </xf>
    <xf numFmtId="9" fontId="4" fillId="0" borderId="0" xfId="2" quotePrefix="1" applyFont="1" applyAlignment="1">
      <alignment horizontal="right"/>
    </xf>
    <xf numFmtId="165" fontId="4" fillId="0" borderId="0" xfId="0" applyNumberFormat="1" applyFont="1"/>
    <xf numFmtId="164" fontId="4" fillId="0" borderId="0" xfId="0" applyNumberFormat="1" applyFont="1"/>
    <xf numFmtId="164" fontId="2" fillId="0" borderId="0" xfId="0" applyNumberFormat="1" applyFont="1"/>
    <xf numFmtId="2" fontId="0" fillId="0" borderId="0" xfId="0" applyNumberFormat="1"/>
    <xf numFmtId="2" fontId="5" fillId="0" borderId="0" xfId="0" applyNumberFormat="1" applyFont="1"/>
    <xf numFmtId="2" fontId="2" fillId="0" borderId="0" xfId="0" applyNumberFormat="1" applyFont="1"/>
    <xf numFmtId="2" fontId="0" fillId="0" borderId="0" xfId="0" applyNumberFormat="1" applyBorder="1"/>
    <xf numFmtId="164" fontId="5" fillId="0" borderId="0" xfId="0" applyNumberFormat="1" applyFont="1" applyBorder="1"/>
    <xf numFmtId="2" fontId="0" fillId="0" borderId="0" xfId="0" applyNumberFormat="1" applyFill="1"/>
    <xf numFmtId="0" fontId="0" fillId="0" borderId="0" xfId="0" applyFont="1" applyAlignment="1">
      <alignment horizontal="left"/>
    </xf>
    <xf numFmtId="0" fontId="0" fillId="2" borderId="1" xfId="0" applyFill="1" applyBorder="1" applyAlignment="1">
      <alignment horizontal="center"/>
    </xf>
    <xf numFmtId="0" fontId="0" fillId="2" borderId="2" xfId="0" applyFill="1" applyBorder="1"/>
    <xf numFmtId="0" fontId="0" fillId="2" borderId="3" xfId="0" applyFill="1" applyBorder="1"/>
    <xf numFmtId="0" fontId="0" fillId="2" borderId="4" xfId="0" applyFill="1" applyBorder="1" applyAlignment="1">
      <alignment horizontal="center"/>
    </xf>
    <xf numFmtId="0" fontId="0" fillId="2" borderId="0" xfId="0" applyFill="1" applyBorder="1"/>
    <xf numFmtId="0" fontId="0" fillId="2" borderId="5" xfId="0" applyFill="1" applyBorder="1"/>
    <xf numFmtId="0" fontId="3" fillId="2" borderId="0" xfId="0" applyFont="1" applyFill="1" applyBorder="1"/>
    <xf numFmtId="164" fontId="4" fillId="2" borderId="0" xfId="0" applyNumberFormat="1" applyFont="1" applyFill="1" applyBorder="1"/>
    <xf numFmtId="0" fontId="0" fillId="2" borderId="6" xfId="0" applyFill="1" applyBorder="1" applyAlignment="1">
      <alignment horizontal="center"/>
    </xf>
    <xf numFmtId="0" fontId="0" fillId="2" borderId="7" xfId="0" applyFill="1" applyBorder="1"/>
    <xf numFmtId="0" fontId="0" fillId="2" borderId="8" xfId="0" applyFill="1" applyBorder="1"/>
    <xf numFmtId="164" fontId="3" fillId="2" borderId="0" xfId="0" applyNumberFormat="1" applyFont="1" applyFill="1" applyBorder="1"/>
    <xf numFmtId="166" fontId="3" fillId="2" borderId="0" xfId="0" applyNumberFormat="1" applyFont="1" applyFill="1" applyBorder="1"/>
    <xf numFmtId="0" fontId="10" fillId="3" borderId="9" xfId="3" applyFont="1" applyFill="1" applyBorder="1" applyProtection="1"/>
    <xf numFmtId="0" fontId="10" fillId="3" borderId="10" xfId="3" applyFont="1" applyFill="1" applyBorder="1" applyProtection="1"/>
    <xf numFmtId="0" fontId="10" fillId="3" borderId="11" xfId="3" applyFont="1" applyFill="1" applyBorder="1" applyProtection="1"/>
    <xf numFmtId="0" fontId="11" fillId="3" borderId="12" xfId="3" applyFont="1" applyFill="1" applyBorder="1" applyAlignment="1" applyProtection="1"/>
    <xf numFmtId="0" fontId="12" fillId="3" borderId="0" xfId="3" applyFont="1" applyFill="1" applyAlignment="1" applyProtection="1"/>
    <xf numFmtId="0" fontId="13" fillId="3" borderId="0" xfId="3" applyFont="1" applyFill="1" applyBorder="1" applyProtection="1"/>
    <xf numFmtId="0" fontId="10" fillId="3" borderId="0" xfId="3" applyFont="1" applyFill="1" applyBorder="1" applyProtection="1"/>
    <xf numFmtId="0" fontId="10" fillId="3" borderId="13" xfId="3" applyFont="1" applyFill="1" applyBorder="1" applyProtection="1"/>
    <xf numFmtId="0" fontId="13" fillId="3" borderId="12" xfId="3" applyFont="1" applyFill="1" applyBorder="1" applyProtection="1"/>
    <xf numFmtId="0" fontId="14" fillId="3" borderId="0" xfId="3" applyFont="1" applyFill="1" applyBorder="1" applyAlignment="1" applyProtection="1">
      <alignment horizontal="left"/>
    </xf>
    <xf numFmtId="0" fontId="15" fillId="3" borderId="0" xfId="3" applyFont="1" applyFill="1" applyAlignment="1" applyProtection="1">
      <alignment horizontal="left"/>
    </xf>
    <xf numFmtId="0" fontId="16" fillId="3" borderId="0" xfId="3" applyFont="1" applyFill="1" applyAlignment="1" applyProtection="1"/>
    <xf numFmtId="0" fontId="18" fillId="3" borderId="0" xfId="3" applyFont="1" applyFill="1" applyBorder="1" applyProtection="1"/>
    <xf numFmtId="0" fontId="19" fillId="3" borderId="13" xfId="3" applyFont="1" applyFill="1" applyBorder="1" applyProtection="1"/>
    <xf numFmtId="0" fontId="10" fillId="3" borderId="14" xfId="3" applyFont="1" applyFill="1" applyBorder="1" applyProtection="1"/>
    <xf numFmtId="0" fontId="10" fillId="3" borderId="15" xfId="3" applyFont="1" applyFill="1" applyBorder="1" applyProtection="1"/>
    <xf numFmtId="0" fontId="18" fillId="3" borderId="15" xfId="3" applyFont="1" applyFill="1" applyBorder="1" applyProtection="1"/>
    <xf numFmtId="0" fontId="20" fillId="3" borderId="16" xfId="3" applyFont="1" applyFill="1" applyBorder="1" applyAlignment="1" applyProtection="1">
      <alignment horizontal="right"/>
    </xf>
    <xf numFmtId="0" fontId="21" fillId="0" borderId="0" xfId="3" applyFont="1" applyAlignment="1" applyProtection="1"/>
    <xf numFmtId="0" fontId="22" fillId="0" borderId="0" xfId="3" applyFont="1" applyAlignment="1" applyProtection="1"/>
    <xf numFmtId="0" fontId="22" fillId="0" borderId="0" xfId="3" applyFont="1" applyProtection="1"/>
    <xf numFmtId="0" fontId="23" fillId="0" borderId="0" xfId="3" applyFont="1" applyProtection="1"/>
    <xf numFmtId="0" fontId="23" fillId="0" borderId="0" xfId="3" applyFont="1" applyFill="1" applyProtection="1"/>
    <xf numFmtId="0" fontId="9" fillId="0" borderId="0" xfId="3" applyProtection="1"/>
    <xf numFmtId="0" fontId="23" fillId="0" borderId="0" xfId="3" applyFont="1" applyAlignment="1" applyProtection="1">
      <alignment vertical="center" wrapText="1"/>
    </xf>
    <xf numFmtId="0" fontId="21" fillId="0" borderId="0" xfId="3" applyFont="1" applyProtection="1"/>
    <xf numFmtId="0" fontId="22" fillId="0" borderId="0" xfId="3" applyFont="1" applyAlignment="1" applyProtection="1">
      <alignment horizontal="center"/>
    </xf>
    <xf numFmtId="0" fontId="25" fillId="0" borderId="0" xfId="5" applyFont="1" applyAlignment="1" applyProtection="1"/>
    <xf numFmtId="0" fontId="22" fillId="0" borderId="0" xfId="5" applyFont="1" applyFill="1" applyAlignment="1" applyProtection="1"/>
    <xf numFmtId="0" fontId="22" fillId="0" borderId="0" xfId="3" applyFont="1" applyFill="1" applyAlignment="1" applyProtection="1"/>
    <xf numFmtId="0" fontId="23" fillId="0" borderId="0" xfId="3" applyFont="1" applyAlignment="1" applyProtection="1"/>
    <xf numFmtId="0" fontId="4" fillId="2" borderId="0" xfId="0" applyFont="1" applyFill="1" applyBorder="1" applyProtection="1">
      <protection locked="0"/>
    </xf>
    <xf numFmtId="9" fontId="4" fillId="2" borderId="0" xfId="2" applyFont="1" applyFill="1" applyBorder="1" applyProtection="1">
      <protection locked="0"/>
    </xf>
    <xf numFmtId="165" fontId="4" fillId="2" borderId="0" xfId="0" applyNumberFormat="1" applyFont="1" applyFill="1" applyBorder="1" applyProtection="1">
      <protection locked="0"/>
    </xf>
    <xf numFmtId="164" fontId="4" fillId="2" borderId="0" xfId="0" applyNumberFormat="1" applyFont="1" applyFill="1" applyBorder="1" applyProtection="1">
      <protection locked="0"/>
    </xf>
    <xf numFmtId="0" fontId="26" fillId="0" borderId="0" xfId="6" applyAlignment="1" applyProtection="1">
      <protection locked="0"/>
    </xf>
    <xf numFmtId="0" fontId="0" fillId="0" borderId="11" xfId="0" applyBorder="1"/>
    <xf numFmtId="0" fontId="0" fillId="0" borderId="13" xfId="0" applyBorder="1"/>
    <xf numFmtId="0" fontId="0" fillId="0" borderId="12" xfId="0" applyBorder="1"/>
    <xf numFmtId="0" fontId="2" fillId="4" borderId="9" xfId="0" applyFont="1" applyFill="1" applyBorder="1"/>
    <xf numFmtId="0" fontId="0" fillId="4" borderId="11" xfId="0" applyFill="1" applyBorder="1"/>
    <xf numFmtId="0" fontId="2" fillId="4" borderId="12" xfId="0" applyFont="1" applyFill="1" applyBorder="1"/>
    <xf numFmtId="0" fontId="0" fillId="4" borderId="13" xfId="0" applyFill="1" applyBorder="1"/>
    <xf numFmtId="0" fontId="0" fillId="4" borderId="12" xfId="0" applyFill="1" applyBorder="1"/>
    <xf numFmtId="164" fontId="0" fillId="4" borderId="13" xfId="0" applyNumberFormat="1" applyFill="1" applyBorder="1" applyAlignment="1">
      <alignment horizontal="right"/>
    </xf>
    <xf numFmtId="0" fontId="4" fillId="4" borderId="12" xfId="0" applyFont="1" applyFill="1" applyBorder="1"/>
    <xf numFmtId="164" fontId="4" fillId="4" borderId="13" xfId="1" applyNumberFormat="1" applyFont="1" applyFill="1" applyBorder="1" applyAlignment="1" applyProtection="1">
      <alignment horizontal="right"/>
      <protection locked="0"/>
    </xf>
    <xf numFmtId="164" fontId="3" fillId="4" borderId="13" xfId="0" applyNumberFormat="1" applyFont="1" applyFill="1" applyBorder="1"/>
    <xf numFmtId="0" fontId="2" fillId="4" borderId="14" xfId="0" applyFont="1" applyFill="1" applyBorder="1"/>
    <xf numFmtId="164" fontId="2" fillId="4" borderId="16" xfId="0" applyNumberFormat="1" applyFont="1" applyFill="1" applyBorder="1"/>
    <xf numFmtId="0" fontId="0" fillId="4" borderId="13" xfId="0" quotePrefix="1" applyFill="1" applyBorder="1" applyAlignment="1">
      <alignment horizontal="center"/>
    </xf>
    <xf numFmtId="165" fontId="4" fillId="4" borderId="13" xfId="0" applyNumberFormat="1" applyFont="1" applyFill="1" applyBorder="1" applyProtection="1">
      <protection locked="0"/>
    </xf>
    <xf numFmtId="164" fontId="4" fillId="4" borderId="13" xfId="0" applyNumberFormat="1" applyFont="1" applyFill="1" applyBorder="1" applyProtection="1">
      <protection locked="0"/>
    </xf>
    <xf numFmtId="164" fontId="0" fillId="4" borderId="13" xfId="0" applyNumberFormat="1" applyFill="1" applyBorder="1"/>
    <xf numFmtId="9" fontId="4" fillId="4" borderId="13" xfId="2" quotePrefix="1" applyFont="1" applyFill="1" applyBorder="1" applyAlignment="1" applyProtection="1">
      <alignment horizontal="right"/>
      <protection locked="0"/>
    </xf>
    <xf numFmtId="0" fontId="0" fillId="4" borderId="13" xfId="0" quotePrefix="1" applyFill="1" applyBorder="1" applyAlignment="1">
      <alignment horizontal="right"/>
    </xf>
    <xf numFmtId="0" fontId="3" fillId="4" borderId="12" xfId="0" applyFont="1" applyFill="1" applyBorder="1"/>
    <xf numFmtId="164" fontId="2" fillId="4" borderId="13" xfId="0" applyNumberFormat="1" applyFont="1" applyFill="1" applyBorder="1"/>
    <xf numFmtId="164" fontId="0" fillId="4" borderId="17" xfId="0" applyNumberFormat="1" applyFill="1" applyBorder="1"/>
    <xf numFmtId="0" fontId="5" fillId="4" borderId="14" xfId="0" applyFont="1" applyFill="1" applyBorder="1"/>
    <xf numFmtId="164" fontId="5" fillId="4" borderId="18" xfId="0" applyNumberFormat="1" applyFont="1" applyFill="1" applyBorder="1"/>
    <xf numFmtId="2" fontId="0" fillId="0" borderId="13" xfId="0" applyNumberFormat="1" applyBorder="1"/>
    <xf numFmtId="2" fontId="2" fillId="0" borderId="13" xfId="0" applyNumberFormat="1" applyFont="1" applyBorder="1"/>
    <xf numFmtId="0" fontId="0" fillId="0" borderId="14" xfId="0" applyBorder="1"/>
    <xf numFmtId="0" fontId="5" fillId="4" borderId="9" xfId="0" applyFont="1" applyFill="1" applyBorder="1"/>
    <xf numFmtId="0" fontId="5" fillId="4" borderId="12" xfId="0" applyFont="1" applyFill="1" applyBorder="1"/>
    <xf numFmtId="0" fontId="4" fillId="4" borderId="13" xfId="0" applyFont="1" applyFill="1" applyBorder="1" applyProtection="1">
      <protection locked="0"/>
    </xf>
    <xf numFmtId="2" fontId="0" fillId="4" borderId="13" xfId="0" applyNumberFormat="1" applyFill="1" applyBorder="1"/>
    <xf numFmtId="2" fontId="0" fillId="4" borderId="17" xfId="0" applyNumberFormat="1" applyFill="1" applyBorder="1"/>
    <xf numFmtId="2" fontId="2" fillId="4" borderId="13" xfId="0" applyNumberFormat="1" applyFont="1" applyFill="1" applyBorder="1"/>
    <xf numFmtId="164" fontId="2" fillId="4" borderId="19" xfId="0" applyNumberFormat="1" applyFont="1" applyFill="1" applyBorder="1"/>
    <xf numFmtId="0" fontId="0" fillId="4" borderId="14" xfId="0" applyFill="1" applyBorder="1"/>
    <xf numFmtId="0" fontId="0" fillId="4" borderId="16" xfId="0" applyFill="1" applyBorder="1"/>
    <xf numFmtId="164" fontId="5" fillId="4" borderId="13" xfId="0" applyNumberFormat="1" applyFont="1" applyFill="1" applyBorder="1"/>
    <xf numFmtId="0" fontId="8" fillId="4" borderId="12" xfId="0" applyFont="1" applyFill="1" applyBorder="1"/>
    <xf numFmtId="2" fontId="8" fillId="4" borderId="13" xfId="0" applyNumberFormat="1" applyFont="1" applyFill="1" applyBorder="1"/>
    <xf numFmtId="0" fontId="2" fillId="0" borderId="9" xfId="0" applyFont="1" applyBorder="1" applyAlignment="1">
      <alignment horizontal="center"/>
    </xf>
    <xf numFmtId="0" fontId="0" fillId="0" borderId="10" xfId="0" applyBorder="1"/>
    <xf numFmtId="2" fontId="4" fillId="0" borderId="13" xfId="0" applyNumberFormat="1" applyFont="1" applyBorder="1"/>
    <xf numFmtId="2" fontId="4" fillId="0" borderId="13" xfId="0" applyNumberFormat="1" applyFont="1" applyFill="1" applyBorder="1"/>
    <xf numFmtId="0" fontId="7" fillId="0" borderId="0" xfId="0" applyFont="1" applyBorder="1" applyAlignment="1">
      <alignment horizontal="right"/>
    </xf>
    <xf numFmtId="2" fontId="6" fillId="0" borderId="13" xfId="0" applyNumberFormat="1" applyFont="1" applyBorder="1"/>
    <xf numFmtId="0" fontId="5" fillId="0" borderId="0" xfId="0" applyFont="1" applyBorder="1" applyAlignment="1">
      <alignment horizontal="right"/>
    </xf>
    <xf numFmtId="2" fontId="5" fillId="0" borderId="13" xfId="0" applyNumberFormat="1" applyFont="1" applyBorder="1"/>
    <xf numFmtId="0" fontId="2" fillId="0" borderId="0" xfId="0" applyFont="1" applyBorder="1" applyAlignment="1">
      <alignment horizontal="right"/>
    </xf>
    <xf numFmtId="1" fontId="4" fillId="0" borderId="13" xfId="0" applyNumberFormat="1" applyFont="1" applyBorder="1"/>
    <xf numFmtId="0" fontId="0" fillId="0" borderId="15" xfId="0" applyFont="1" applyBorder="1" applyAlignment="1">
      <alignment horizontal="left"/>
    </xf>
    <xf numFmtId="2" fontId="2" fillId="0" borderId="16" xfId="0" applyNumberFormat="1" applyFont="1" applyBorder="1"/>
    <xf numFmtId="0" fontId="0" fillId="0" borderId="12" xfId="0" applyBorder="1" applyAlignment="1">
      <alignment horizontal="center"/>
    </xf>
    <xf numFmtId="0" fontId="4" fillId="0" borderId="13" xfId="0" applyFont="1" applyBorder="1"/>
    <xf numFmtId="0" fontId="2" fillId="0" borderId="15" xfId="0" applyFont="1" applyBorder="1" applyAlignment="1">
      <alignment horizontal="right"/>
    </xf>
    <xf numFmtId="2" fontId="4" fillId="0" borderId="16" xfId="0" applyNumberFormat="1" applyFont="1" applyBorder="1"/>
    <xf numFmtId="2" fontId="3" fillId="0" borderId="13" xfId="0" applyNumberFormat="1" applyFont="1" applyBorder="1"/>
    <xf numFmtId="2" fontId="3" fillId="0" borderId="17" xfId="0" applyNumberFormat="1" applyFont="1" applyBorder="1"/>
    <xf numFmtId="0" fontId="22" fillId="0" borderId="0" xfId="3" applyFont="1" applyAlignment="1" applyProtection="1">
      <alignment horizontal="left" wrapText="1"/>
    </xf>
    <xf numFmtId="0" fontId="13" fillId="3" borderId="12" xfId="3" applyFont="1" applyFill="1" applyBorder="1" applyAlignment="1" applyProtection="1">
      <alignment horizontal="left" vertical="top" wrapText="1"/>
    </xf>
    <xf numFmtId="0" fontId="13" fillId="3" borderId="0" xfId="3" applyFont="1" applyFill="1" applyBorder="1" applyAlignment="1" applyProtection="1">
      <alignment horizontal="left" vertical="top" wrapText="1"/>
    </xf>
    <xf numFmtId="0" fontId="20" fillId="3" borderId="15" xfId="3" applyFont="1" applyFill="1" applyBorder="1" applyAlignment="1" applyProtection="1">
      <alignment horizontal="right"/>
    </xf>
    <xf numFmtId="0" fontId="17" fillId="3" borderId="15" xfId="3" applyFont="1" applyFill="1" applyBorder="1" applyAlignment="1" applyProtection="1">
      <alignment horizontal="right"/>
    </xf>
    <xf numFmtId="14" fontId="20" fillId="3" borderId="15" xfId="3" applyNumberFormat="1" applyFont="1" applyFill="1" applyBorder="1" applyAlignment="1" applyProtection="1">
      <alignment horizontal="left"/>
    </xf>
    <xf numFmtId="0" fontId="17" fillId="3" borderId="15" xfId="3" applyFont="1" applyFill="1" applyBorder="1" applyAlignment="1" applyProtection="1">
      <alignment horizontal="left"/>
    </xf>
    <xf numFmtId="0" fontId="22" fillId="0" borderId="0" xfId="3" applyFont="1" applyAlignment="1" applyProtection="1">
      <alignment horizontal="left" vertical="top" wrapText="1"/>
    </xf>
    <xf numFmtId="0" fontId="21" fillId="0" borderId="0" xfId="3" applyFont="1" applyAlignment="1" applyProtection="1"/>
    <xf numFmtId="0" fontId="22" fillId="0" borderId="0" xfId="3" applyFont="1" applyAlignment="1" applyProtection="1"/>
    <xf numFmtId="0" fontId="2" fillId="2" borderId="0" xfId="0" applyFont="1" applyFill="1" applyBorder="1" applyAlignment="1">
      <alignment horizontal="center"/>
    </xf>
    <xf numFmtId="9" fontId="4" fillId="4" borderId="13" xfId="2" applyFont="1" applyFill="1" applyBorder="1" applyProtection="1">
      <protection locked="0"/>
    </xf>
  </cellXfs>
  <cellStyles count="7">
    <cellStyle name="Currency" xfId="1" builtinId="4"/>
    <cellStyle name="Hyperlink" xfId="6" builtinId="8"/>
    <cellStyle name="Hyperlink 2" xfId="4" xr:uid="{00000000-0005-0000-0000-000002000000}"/>
    <cellStyle name="Hyperlink_K-State Vegetative Buffer" xfId="5" xr:uid="{00000000-0005-0000-0000-000003000000}"/>
    <cellStyle name="Normal" xfId="0" builtinId="0"/>
    <cellStyle name="Normal 2" xfId="3" xr:uid="{00000000-0005-0000-0000-00000500000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http://www.AgManager.info" TargetMode="External"/><Relationship Id="rId6" Type="http://schemas.openxmlformats.org/officeDocument/2006/relationships/image" Target="../media/image5.jpg"/><Relationship Id="rId5" Type="http://schemas.openxmlformats.org/officeDocument/2006/relationships/image" Target="../media/image4.jpe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11</xdr:col>
      <xdr:colOff>414129</xdr:colOff>
      <xdr:row>1</xdr:row>
      <xdr:rowOff>51766</xdr:rowOff>
    </xdr:from>
    <xdr:to>
      <xdr:col>11</xdr:col>
      <xdr:colOff>1493640</xdr:colOff>
      <xdr:row>6</xdr:row>
      <xdr:rowOff>46970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38729" y="185116"/>
          <a:ext cx="1077606" cy="945799"/>
        </a:xfrm>
        <a:prstGeom prst="rect">
          <a:avLst/>
        </a:prstGeom>
      </xdr:spPr>
    </xdr:pic>
    <xdr:clientData/>
  </xdr:twoCellAnchor>
  <xdr:twoCellAnchor editAs="oneCell">
    <xdr:from>
      <xdr:col>0</xdr:col>
      <xdr:colOff>557007</xdr:colOff>
      <xdr:row>31</xdr:row>
      <xdr:rowOff>39334</xdr:rowOff>
    </xdr:from>
    <xdr:to>
      <xdr:col>5</xdr:col>
      <xdr:colOff>361537</xdr:colOff>
      <xdr:row>34</xdr:row>
      <xdr:rowOff>84730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57007" y="6640159"/>
          <a:ext cx="2843005" cy="614991"/>
        </a:xfrm>
        <a:prstGeom prst="rect">
          <a:avLst/>
        </a:prstGeom>
      </xdr:spPr>
    </xdr:pic>
    <xdr:clientData/>
  </xdr:twoCellAnchor>
  <xdr:twoCellAnchor>
    <xdr:from>
      <xdr:col>0</xdr:col>
      <xdr:colOff>600075</xdr:colOff>
      <xdr:row>7</xdr:row>
      <xdr:rowOff>209549</xdr:rowOff>
    </xdr:from>
    <xdr:to>
      <xdr:col>12</xdr:col>
      <xdr:colOff>9525</xdr:colOff>
      <xdr:row>15</xdr:row>
      <xdr:rowOff>38099</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598170" y="1704974"/>
          <a:ext cx="8124825" cy="1304925"/>
          <a:chOff x="600075" y="1762124"/>
          <a:chExt cx="7658100" cy="1371600"/>
        </a:xfrm>
      </xdr:grpSpPr>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00075" y="1762124"/>
            <a:ext cx="2362200" cy="1371600"/>
          </a:xfrm>
          <a:prstGeom prst="rect">
            <a:avLst/>
          </a:prstGeom>
        </xdr:spPr>
      </xdr:pic>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43224" y="1762124"/>
            <a:ext cx="2695575" cy="1371600"/>
          </a:xfrm>
          <a:prstGeom prst="rect">
            <a:avLst/>
          </a:prstGeom>
        </xdr:spPr>
      </xdr:pic>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638801" y="1762124"/>
            <a:ext cx="2619374" cy="1371600"/>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robinreid@ksu.edu"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6"/>
  <sheetViews>
    <sheetView tabSelected="1" workbookViewId="0">
      <selection activeCell="S24" sqref="S24"/>
    </sheetView>
  </sheetViews>
  <sheetFormatPr defaultRowHeight="14.4" x14ac:dyDescent="0.55000000000000004"/>
  <cols>
    <col min="5" max="5" width="9" customWidth="1"/>
    <col min="12" max="12" width="23.26171875" customWidth="1"/>
  </cols>
  <sheetData>
    <row r="1" spans="2:12" ht="14.7" thickBot="1" x14ac:dyDescent="0.6"/>
    <row r="2" spans="2:12" ht="15.3" x14ac:dyDescent="0.55000000000000004">
      <c r="B2" s="31"/>
      <c r="C2" s="32"/>
      <c r="D2" s="32"/>
      <c r="E2" s="32"/>
      <c r="F2" s="32"/>
      <c r="G2" s="32"/>
      <c r="H2" s="32"/>
      <c r="I2" s="32"/>
      <c r="J2" s="32"/>
      <c r="K2" s="32"/>
      <c r="L2" s="33"/>
    </row>
    <row r="3" spans="2:12" ht="25.8" x14ac:dyDescent="0.95">
      <c r="B3" s="34" t="s">
        <v>86</v>
      </c>
      <c r="C3" s="35"/>
      <c r="D3" s="35"/>
      <c r="E3" s="35"/>
      <c r="F3" s="35"/>
      <c r="G3" s="35"/>
      <c r="H3" s="36"/>
      <c r="I3" s="36"/>
      <c r="J3" s="37"/>
      <c r="K3" s="37"/>
      <c r="L3" s="38"/>
    </row>
    <row r="4" spans="2:12" ht="16.8" x14ac:dyDescent="0.65">
      <c r="B4" s="39"/>
      <c r="C4" s="40"/>
      <c r="D4" s="41"/>
      <c r="E4" s="41"/>
      <c r="F4" s="42"/>
      <c r="G4" s="42"/>
      <c r="H4" s="36"/>
      <c r="I4" s="36"/>
      <c r="J4" s="37"/>
      <c r="K4" s="37"/>
      <c r="L4" s="38"/>
    </row>
    <row r="5" spans="2:12" ht="15.75" customHeight="1" x14ac:dyDescent="0.55000000000000004">
      <c r="B5" s="126" t="s">
        <v>87</v>
      </c>
      <c r="C5" s="127"/>
      <c r="D5" s="127"/>
      <c r="E5" s="127"/>
      <c r="F5" s="127"/>
      <c r="G5" s="127"/>
      <c r="H5" s="127"/>
      <c r="I5" s="127"/>
      <c r="J5" s="127"/>
      <c r="K5" s="37"/>
      <c r="L5" s="38"/>
    </row>
    <row r="6" spans="2:12" ht="15.3" x14ac:dyDescent="0.55000000000000004">
      <c r="B6" s="126"/>
      <c r="C6" s="127"/>
      <c r="D6" s="127"/>
      <c r="E6" s="127"/>
      <c r="F6" s="127"/>
      <c r="G6" s="127"/>
      <c r="H6" s="127"/>
      <c r="I6" s="127"/>
      <c r="J6" s="127"/>
      <c r="K6" s="37"/>
      <c r="L6" s="38"/>
    </row>
    <row r="7" spans="2:12" ht="15.75" customHeight="1" x14ac:dyDescent="0.55000000000000004">
      <c r="B7" s="126"/>
      <c r="C7" s="127"/>
      <c r="D7" s="127"/>
      <c r="E7" s="127"/>
      <c r="F7" s="127"/>
      <c r="G7" s="127"/>
      <c r="H7" s="127"/>
      <c r="I7" s="127"/>
      <c r="J7" s="127"/>
      <c r="K7" s="43"/>
      <c r="L7" s="44"/>
    </row>
    <row r="8" spans="2:12" ht="15.6" thickBot="1" x14ac:dyDescent="0.6">
      <c r="B8" s="45"/>
      <c r="C8" s="128"/>
      <c r="D8" s="129"/>
      <c r="E8" s="130"/>
      <c r="F8" s="131"/>
      <c r="G8" s="46"/>
      <c r="H8" s="46"/>
      <c r="I8" s="46"/>
      <c r="J8" s="46"/>
      <c r="K8" s="47"/>
      <c r="L8" s="48" t="s">
        <v>94</v>
      </c>
    </row>
    <row r="17" spans="2:12" ht="15.6" x14ac:dyDescent="0.6">
      <c r="B17" s="49" t="s">
        <v>82</v>
      </c>
      <c r="C17" s="50"/>
      <c r="D17" s="50"/>
      <c r="E17" s="50"/>
      <c r="F17" s="51"/>
      <c r="G17" s="51"/>
      <c r="H17" s="51"/>
      <c r="I17" s="51"/>
      <c r="J17" s="51"/>
      <c r="K17" s="51"/>
      <c r="L17" s="51"/>
    </row>
    <row r="18" spans="2:12" x14ac:dyDescent="0.55000000000000004">
      <c r="B18" s="132" t="s">
        <v>111</v>
      </c>
      <c r="C18" s="132"/>
      <c r="D18" s="132"/>
      <c r="E18" s="132"/>
      <c r="F18" s="132"/>
      <c r="G18" s="132"/>
      <c r="H18" s="132"/>
      <c r="I18" s="132"/>
      <c r="J18" s="132"/>
      <c r="K18" s="132"/>
      <c r="L18" s="132"/>
    </row>
    <row r="19" spans="2:12" ht="43.5" customHeight="1" x14ac:dyDescent="0.55000000000000004">
      <c r="B19" s="132"/>
      <c r="C19" s="132"/>
      <c r="D19" s="132"/>
      <c r="E19" s="132"/>
      <c r="F19" s="132"/>
      <c r="G19" s="132"/>
      <c r="H19" s="132"/>
      <c r="I19" s="132"/>
      <c r="J19" s="132"/>
      <c r="K19" s="132"/>
      <c r="L19" s="132"/>
    </row>
    <row r="20" spans="2:12" ht="15.6" x14ac:dyDescent="0.6">
      <c r="B20" s="133" t="s">
        <v>83</v>
      </c>
      <c r="C20" s="134"/>
      <c r="D20" s="134"/>
      <c r="E20" s="134"/>
      <c r="F20" s="52"/>
      <c r="G20" s="53"/>
      <c r="H20" s="52"/>
      <c r="I20" s="52"/>
      <c r="J20" s="52"/>
      <c r="K20" s="52"/>
      <c r="L20" s="52"/>
    </row>
    <row r="21" spans="2:12" x14ac:dyDescent="0.55000000000000004">
      <c r="B21" s="125" t="s">
        <v>110</v>
      </c>
      <c r="C21" s="125"/>
      <c r="D21" s="125"/>
      <c r="E21" s="125"/>
      <c r="F21" s="125"/>
      <c r="G21" s="125"/>
      <c r="H21" s="125"/>
      <c r="I21" s="125"/>
      <c r="J21" s="125"/>
      <c r="K21" s="125"/>
      <c r="L21" s="125"/>
    </row>
    <row r="22" spans="2:12" x14ac:dyDescent="0.55000000000000004">
      <c r="B22" s="125"/>
      <c r="C22" s="125"/>
      <c r="D22" s="125"/>
      <c r="E22" s="125"/>
      <c r="F22" s="125"/>
      <c r="G22" s="125"/>
      <c r="H22" s="125"/>
      <c r="I22" s="125"/>
      <c r="J22" s="125"/>
      <c r="K22" s="125"/>
      <c r="L22" s="125"/>
    </row>
    <row r="23" spans="2:12" ht="15.6" x14ac:dyDescent="0.55000000000000004">
      <c r="B23" s="54"/>
      <c r="C23" s="55"/>
      <c r="D23" s="55"/>
      <c r="E23" s="55"/>
      <c r="F23" s="55"/>
      <c r="G23" s="55"/>
      <c r="H23" s="55"/>
      <c r="I23" s="55"/>
      <c r="J23" s="55"/>
      <c r="K23" s="55"/>
      <c r="L23" s="55"/>
    </row>
    <row r="24" spans="2:12" ht="15.6" x14ac:dyDescent="0.6">
      <c r="B24" s="56" t="s">
        <v>84</v>
      </c>
      <c r="C24" s="51"/>
      <c r="D24" s="52"/>
      <c r="E24" s="52"/>
      <c r="F24" s="52"/>
      <c r="G24" s="52"/>
      <c r="H24" s="52"/>
      <c r="I24" s="52"/>
      <c r="J24" s="52"/>
      <c r="K24" s="52"/>
      <c r="L24" s="52"/>
    </row>
    <row r="25" spans="2:12" ht="15.6" x14ac:dyDescent="0.6">
      <c r="B25" s="51" t="s">
        <v>97</v>
      </c>
      <c r="C25" s="51"/>
      <c r="D25" s="51"/>
      <c r="E25" s="57"/>
      <c r="F25" s="51"/>
      <c r="G25" s="51" t="s">
        <v>96</v>
      </c>
      <c r="H25" s="51"/>
      <c r="I25" s="51"/>
      <c r="J25" s="51"/>
      <c r="K25" s="51"/>
      <c r="L25" s="51"/>
    </row>
    <row r="26" spans="2:12" ht="15.6" x14ac:dyDescent="0.6">
      <c r="B26" s="51" t="s">
        <v>98</v>
      </c>
      <c r="C26" s="51"/>
      <c r="D26" s="51"/>
      <c r="E26" s="57"/>
      <c r="F26" s="51"/>
      <c r="G26" s="51" t="s">
        <v>88</v>
      </c>
      <c r="H26" s="51"/>
      <c r="I26" s="51"/>
      <c r="J26" s="51"/>
      <c r="K26" s="51"/>
      <c r="L26" s="51"/>
    </row>
    <row r="27" spans="2:12" ht="15.6" x14ac:dyDescent="0.6">
      <c r="B27" s="51" t="s">
        <v>85</v>
      </c>
      <c r="C27" s="51"/>
      <c r="D27" s="51"/>
      <c r="E27" s="51"/>
      <c r="F27" s="51"/>
      <c r="G27" s="51" t="s">
        <v>89</v>
      </c>
      <c r="H27" s="51"/>
      <c r="I27" s="51"/>
      <c r="J27" s="51"/>
      <c r="K27" s="51"/>
      <c r="L27" s="51"/>
    </row>
    <row r="28" spans="2:12" ht="15.6" x14ac:dyDescent="0.6">
      <c r="B28" s="66" t="s">
        <v>99</v>
      </c>
      <c r="D28" s="50"/>
      <c r="E28" s="51"/>
      <c r="F28" s="51"/>
      <c r="G28" s="51" t="s">
        <v>85</v>
      </c>
      <c r="H28" s="51"/>
      <c r="I28" s="51"/>
      <c r="J28" s="51"/>
      <c r="K28" s="51"/>
      <c r="L28" s="51"/>
    </row>
    <row r="29" spans="2:12" ht="15.6" x14ac:dyDescent="0.6">
      <c r="B29" s="59" t="s">
        <v>100</v>
      </c>
      <c r="C29" s="60"/>
      <c r="D29" s="50"/>
      <c r="E29" s="51"/>
      <c r="F29" s="51"/>
      <c r="G29" s="58"/>
      <c r="H29" s="50"/>
      <c r="I29" s="50"/>
      <c r="J29" s="51"/>
      <c r="K29" s="51"/>
      <c r="L29" s="51"/>
    </row>
    <row r="30" spans="2:12" ht="15.6" x14ac:dyDescent="0.6">
      <c r="B30" s="51"/>
      <c r="C30" s="52"/>
      <c r="D30" s="51"/>
      <c r="E30" s="51"/>
      <c r="F30" s="51"/>
      <c r="G30" s="51"/>
      <c r="H30" s="51"/>
      <c r="I30" s="51"/>
      <c r="J30" s="51"/>
      <c r="K30" s="51"/>
      <c r="L30" s="51"/>
    </row>
    <row r="31" spans="2:12" ht="15" customHeight="1" x14ac:dyDescent="0.6">
      <c r="B31" s="61" t="s">
        <v>95</v>
      </c>
      <c r="C31" s="61"/>
      <c r="D31" s="61"/>
      <c r="E31" s="61"/>
      <c r="F31" s="61"/>
      <c r="G31" s="61"/>
      <c r="H31" s="61"/>
      <c r="I31" s="61"/>
      <c r="J31" s="61"/>
      <c r="K31" s="61"/>
      <c r="L31" s="61"/>
    </row>
    <row r="32" spans="2:12" x14ac:dyDescent="0.55000000000000004">
      <c r="B32" s="54"/>
      <c r="C32" s="54"/>
      <c r="D32" s="54"/>
      <c r="E32" s="54"/>
      <c r="F32" s="54"/>
      <c r="G32" s="54"/>
      <c r="H32" s="54"/>
      <c r="I32" s="54"/>
      <c r="J32" s="54"/>
      <c r="K32" s="54"/>
      <c r="L32" s="54"/>
    </row>
    <row r="33" spans="2:12" x14ac:dyDescent="0.55000000000000004">
      <c r="B33" s="54"/>
      <c r="C33" s="54"/>
      <c r="D33" s="54"/>
      <c r="E33" s="54"/>
      <c r="F33" s="54"/>
      <c r="G33" s="54"/>
      <c r="H33" s="54"/>
      <c r="I33" s="54"/>
      <c r="J33" s="54"/>
      <c r="K33" s="54"/>
      <c r="L33" s="54"/>
    </row>
    <row r="34" spans="2:12" x14ac:dyDescent="0.55000000000000004">
      <c r="B34" s="54"/>
      <c r="C34" s="54"/>
      <c r="D34" s="54"/>
      <c r="E34" s="54"/>
      <c r="F34" s="54"/>
      <c r="G34" s="54"/>
      <c r="H34" s="54"/>
      <c r="I34" s="54"/>
      <c r="J34" s="54"/>
      <c r="K34" s="54"/>
      <c r="L34" s="54"/>
    </row>
    <row r="35" spans="2:12" x14ac:dyDescent="0.55000000000000004">
      <c r="B35" s="54"/>
      <c r="C35" s="54"/>
      <c r="D35" s="54"/>
      <c r="E35" s="54"/>
      <c r="F35" s="54"/>
      <c r="G35" s="54"/>
      <c r="H35" s="54"/>
      <c r="I35" s="54"/>
      <c r="J35" s="54"/>
      <c r="K35" s="54"/>
      <c r="L35" s="54"/>
    </row>
    <row r="36" spans="2:12" x14ac:dyDescent="0.55000000000000004">
      <c r="B36" s="54"/>
      <c r="C36" s="54"/>
      <c r="D36" s="54"/>
      <c r="E36" s="54"/>
      <c r="F36" s="54"/>
      <c r="G36" s="54"/>
      <c r="H36" s="54"/>
      <c r="I36" s="54"/>
      <c r="J36" s="54"/>
      <c r="K36" s="54"/>
      <c r="L36" s="54"/>
    </row>
  </sheetData>
  <mergeCells count="6">
    <mergeCell ref="B21:L22"/>
    <mergeCell ref="B5:J7"/>
    <mergeCell ref="C8:D8"/>
    <mergeCell ref="E8:F8"/>
    <mergeCell ref="B18:L19"/>
    <mergeCell ref="B20:E20"/>
  </mergeCells>
  <hyperlinks>
    <hyperlink ref="B28"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45"/>
  <sheetViews>
    <sheetView workbookViewId="0">
      <selection activeCell="P28" sqref="P28"/>
    </sheetView>
  </sheetViews>
  <sheetFormatPr defaultRowHeight="14.4" x14ac:dyDescent="0.55000000000000004"/>
  <cols>
    <col min="1" max="1" width="3.41796875" customWidth="1"/>
    <col min="2" max="2" width="6.26171875" style="1" customWidth="1"/>
    <col min="3" max="3" width="35.68359375" customWidth="1"/>
    <col min="4" max="4" width="13.26171875" customWidth="1"/>
    <col min="5" max="5" width="2.41796875" customWidth="1"/>
    <col min="6" max="6" width="7.578125" customWidth="1"/>
    <col min="7" max="7" width="38.41796875" customWidth="1"/>
    <col min="8" max="8" width="8.68359375" customWidth="1"/>
    <col min="9" max="9" width="5.5234375" customWidth="1"/>
    <col min="10" max="10" width="38.15625" customWidth="1"/>
    <col min="12" max="12" width="5.5234375" customWidth="1"/>
    <col min="13" max="13" width="40.68359375" customWidth="1"/>
  </cols>
  <sheetData>
    <row r="1" spans="2:14" ht="14.7" thickBot="1" x14ac:dyDescent="0.6"/>
    <row r="2" spans="2:14" x14ac:dyDescent="0.55000000000000004">
      <c r="B2" s="18"/>
      <c r="C2" s="19"/>
      <c r="D2" s="19"/>
      <c r="E2" s="20"/>
      <c r="G2" s="70" t="s">
        <v>72</v>
      </c>
      <c r="H2" s="71"/>
      <c r="J2" s="95" t="s">
        <v>73</v>
      </c>
      <c r="K2" s="71"/>
      <c r="M2" s="95" t="s">
        <v>77</v>
      </c>
      <c r="N2" s="71"/>
    </row>
    <row r="3" spans="2:14" x14ac:dyDescent="0.55000000000000004">
      <c r="B3" s="21"/>
      <c r="C3" s="22" t="s">
        <v>0</v>
      </c>
      <c r="D3" s="62">
        <v>120</v>
      </c>
      <c r="E3" s="23"/>
      <c r="G3" s="72" t="s">
        <v>80</v>
      </c>
      <c r="H3" s="81"/>
      <c r="I3" s="3"/>
      <c r="J3" s="96" t="s">
        <v>81</v>
      </c>
      <c r="K3" s="73"/>
      <c r="M3" s="96" t="s">
        <v>78</v>
      </c>
      <c r="N3" s="73"/>
    </row>
    <row r="4" spans="2:14" x14ac:dyDescent="0.55000000000000004">
      <c r="B4" s="21"/>
      <c r="C4" s="22" t="s">
        <v>58</v>
      </c>
      <c r="D4" s="63">
        <v>0.75</v>
      </c>
      <c r="E4" s="23"/>
      <c r="G4" s="74"/>
      <c r="H4" s="81"/>
      <c r="I4" s="3"/>
      <c r="J4" s="74"/>
      <c r="K4" s="73"/>
      <c r="M4" s="74"/>
      <c r="N4" s="73"/>
    </row>
    <row r="5" spans="2:14" x14ac:dyDescent="0.55000000000000004">
      <c r="B5" s="21"/>
      <c r="C5" s="22" t="s">
        <v>69</v>
      </c>
      <c r="D5" s="24">
        <f>D3*D4</f>
        <v>90</v>
      </c>
      <c r="E5" s="23"/>
      <c r="G5" s="76" t="s">
        <v>11</v>
      </c>
      <c r="H5" s="82">
        <v>44354</v>
      </c>
      <c r="I5" s="8"/>
      <c r="J5" s="76" t="s">
        <v>11</v>
      </c>
      <c r="K5" s="82">
        <v>44354</v>
      </c>
      <c r="M5" s="76" t="s">
        <v>11</v>
      </c>
      <c r="N5" s="82">
        <v>44362</v>
      </c>
    </row>
    <row r="6" spans="2:14" x14ac:dyDescent="0.55000000000000004">
      <c r="B6" s="21"/>
      <c r="C6" s="22" t="s">
        <v>1</v>
      </c>
      <c r="D6" s="29">
        <v>4.58</v>
      </c>
      <c r="E6" s="23"/>
      <c r="G6" s="74" t="s">
        <v>14</v>
      </c>
      <c r="H6" s="73">
        <f>$D$3*D4*(1-(H5-$D$9)/100)</f>
        <v>78.3</v>
      </c>
      <c r="J6" s="76" t="s">
        <v>12</v>
      </c>
      <c r="K6" s="97">
        <v>42</v>
      </c>
      <c r="M6" s="76" t="s">
        <v>12</v>
      </c>
      <c r="N6" s="97">
        <v>30</v>
      </c>
    </row>
    <row r="7" spans="2:14" x14ac:dyDescent="0.55000000000000004">
      <c r="B7" s="21"/>
      <c r="C7" s="22" t="s">
        <v>74</v>
      </c>
      <c r="D7" s="30">
        <f>D5*D6</f>
        <v>412.2</v>
      </c>
      <c r="E7" s="23"/>
      <c r="G7" s="76" t="s">
        <v>19</v>
      </c>
      <c r="H7" s="83">
        <v>5.45</v>
      </c>
      <c r="I7" s="9"/>
      <c r="J7" s="76" t="s">
        <v>16</v>
      </c>
      <c r="K7" s="83">
        <v>13.15</v>
      </c>
      <c r="M7" s="74" t="s">
        <v>16</v>
      </c>
      <c r="N7" s="84">
        <f>K7</f>
        <v>13.15</v>
      </c>
    </row>
    <row r="8" spans="2:14" x14ac:dyDescent="0.55000000000000004">
      <c r="B8" s="21"/>
      <c r="C8" s="22"/>
      <c r="D8" s="22"/>
      <c r="E8" s="23"/>
      <c r="G8" s="74" t="s">
        <v>20</v>
      </c>
      <c r="H8" s="84">
        <f>H6*$D$6</f>
        <v>358.61399999999998</v>
      </c>
      <c r="I8" s="2"/>
      <c r="J8" s="74" t="s">
        <v>17</v>
      </c>
      <c r="K8" s="84">
        <f>K6*K7</f>
        <v>552.30000000000007</v>
      </c>
      <c r="M8" s="74" t="s">
        <v>17</v>
      </c>
      <c r="N8" s="84">
        <f>N6*N7</f>
        <v>394.5</v>
      </c>
    </row>
    <row r="9" spans="2:14" x14ac:dyDescent="0.55000000000000004">
      <c r="B9" s="21"/>
      <c r="C9" s="22" t="s">
        <v>2</v>
      </c>
      <c r="D9" s="64">
        <v>44341</v>
      </c>
      <c r="E9" s="23"/>
      <c r="G9" s="74"/>
      <c r="H9" s="73"/>
      <c r="J9" s="74" t="s">
        <v>76</v>
      </c>
      <c r="K9" s="84">
        <v>0</v>
      </c>
      <c r="M9" s="74" t="s">
        <v>65</v>
      </c>
      <c r="N9" s="84">
        <f>0.35*D21</f>
        <v>79.348500000000001</v>
      </c>
    </row>
    <row r="10" spans="2:14" x14ac:dyDescent="0.55000000000000004">
      <c r="B10" s="21"/>
      <c r="C10" s="22" t="s">
        <v>25</v>
      </c>
      <c r="D10" s="65">
        <v>40</v>
      </c>
      <c r="E10" s="23"/>
      <c r="G10" s="76" t="s">
        <v>15</v>
      </c>
      <c r="H10" s="85">
        <v>0.2</v>
      </c>
      <c r="I10" s="7"/>
      <c r="J10" s="72" t="s">
        <v>21</v>
      </c>
      <c r="K10" s="88">
        <f>K8+K9</f>
        <v>552.30000000000007</v>
      </c>
      <c r="M10" s="72" t="s">
        <v>21</v>
      </c>
      <c r="N10" s="104">
        <f>N8+N9</f>
        <v>473.8485</v>
      </c>
    </row>
    <row r="11" spans="2:14" x14ac:dyDescent="0.55000000000000004">
      <c r="B11" s="21"/>
      <c r="C11" s="22"/>
      <c r="D11" s="25"/>
      <c r="E11" s="23"/>
      <c r="G11" s="74" t="s">
        <v>12</v>
      </c>
      <c r="H11" s="86">
        <f>$D$3*(1-H10)</f>
        <v>96</v>
      </c>
      <c r="I11" s="6"/>
      <c r="J11" s="74"/>
      <c r="K11" s="73"/>
      <c r="M11" s="74"/>
      <c r="N11" s="73"/>
    </row>
    <row r="12" spans="2:14" x14ac:dyDescent="0.55000000000000004">
      <c r="B12" s="21"/>
      <c r="C12" s="135" t="s">
        <v>101</v>
      </c>
      <c r="D12" s="135"/>
      <c r="E12" s="23"/>
      <c r="G12" s="74" t="s">
        <v>66</v>
      </c>
      <c r="H12" s="84">
        <f>H11*H7</f>
        <v>523.20000000000005</v>
      </c>
      <c r="I12" s="2"/>
      <c r="J12" s="74" t="s">
        <v>22</v>
      </c>
      <c r="K12" s="98">
        <f>'Input + Harvest Costs'!H21</f>
        <v>129.05513308683439</v>
      </c>
      <c r="M12" s="74" t="s">
        <v>22</v>
      </c>
      <c r="N12" s="98">
        <f>'Input + Harvest Costs'!L21</f>
        <v>129.05513308683439</v>
      </c>
    </row>
    <row r="13" spans="2:14" x14ac:dyDescent="0.55000000000000004">
      <c r="B13" s="26"/>
      <c r="C13" s="27"/>
      <c r="D13" s="27"/>
      <c r="E13" s="28"/>
      <c r="G13" s="74" t="s">
        <v>18</v>
      </c>
      <c r="H13" s="84">
        <f>IF(H12&lt;H8,H8-H12,0)</f>
        <v>0</v>
      </c>
      <c r="I13" s="2"/>
      <c r="J13" s="74" t="s">
        <v>48</v>
      </c>
      <c r="K13" s="98">
        <f>'Input + Harvest Costs'!H30</f>
        <v>37.686666666666667</v>
      </c>
      <c r="M13" s="74" t="s">
        <v>48</v>
      </c>
      <c r="N13" s="98">
        <f>'Input + Harvest Costs'!L30</f>
        <v>37.686666666666667</v>
      </c>
    </row>
    <row r="14" spans="2:14" x14ac:dyDescent="0.55000000000000004">
      <c r="G14" s="74"/>
      <c r="H14" s="84"/>
      <c r="J14" s="74" t="s">
        <v>23</v>
      </c>
      <c r="K14" s="98">
        <f>'Input + Harvest Costs'!H39</f>
        <v>37.24</v>
      </c>
      <c r="M14" s="74" t="s">
        <v>23</v>
      </c>
      <c r="N14" s="98">
        <f>'Input + Harvest Costs'!L39</f>
        <v>32.68</v>
      </c>
    </row>
    <row r="15" spans="2:14" x14ac:dyDescent="0.55000000000000004">
      <c r="G15" s="76" t="s">
        <v>79</v>
      </c>
      <c r="H15" s="83">
        <v>0</v>
      </c>
      <c r="I15" s="2"/>
      <c r="J15" s="74"/>
      <c r="K15" s="98"/>
      <c r="M15" s="105" t="s">
        <v>68</v>
      </c>
      <c r="N15" s="106">
        <f>0.35*D10</f>
        <v>14</v>
      </c>
    </row>
    <row r="16" spans="2:14" ht="14.7" thickBot="1" x14ac:dyDescent="0.6">
      <c r="G16" s="87" t="s">
        <v>16</v>
      </c>
      <c r="H16" s="78">
        <f>H7+H15</f>
        <v>5.45</v>
      </c>
      <c r="I16" s="2"/>
      <c r="J16" s="74" t="s">
        <v>91</v>
      </c>
      <c r="K16" s="99">
        <f>'Input + Harvest Costs'!H41</f>
        <v>20</v>
      </c>
      <c r="M16" s="74" t="s">
        <v>91</v>
      </c>
      <c r="N16" s="99">
        <f>'Input + Harvest Costs'!L41</f>
        <v>20</v>
      </c>
    </row>
    <row r="17" spans="3:14" x14ac:dyDescent="0.55000000000000004">
      <c r="C17" s="70" t="s">
        <v>8</v>
      </c>
      <c r="D17" s="71"/>
      <c r="G17" s="74" t="s">
        <v>17</v>
      </c>
      <c r="H17" s="84">
        <f>H11*H16</f>
        <v>523.20000000000005</v>
      </c>
      <c r="I17" s="10"/>
      <c r="J17" s="72" t="s">
        <v>24</v>
      </c>
      <c r="K17" s="100">
        <f>SUM(K12:K16)</f>
        <v>223.98179975350106</v>
      </c>
      <c r="M17" s="72" t="s">
        <v>24</v>
      </c>
      <c r="N17" s="100">
        <f>SUM(N12:N16)</f>
        <v>233.42179975350106</v>
      </c>
    </row>
    <row r="18" spans="3:14" x14ac:dyDescent="0.55000000000000004">
      <c r="C18" s="72" t="s">
        <v>9</v>
      </c>
      <c r="D18" s="73"/>
      <c r="G18" s="72" t="s">
        <v>21</v>
      </c>
      <c r="H18" s="88">
        <f>H17+H13</f>
        <v>523.20000000000005</v>
      </c>
      <c r="J18" s="74"/>
      <c r="K18" s="73"/>
      <c r="M18" s="74"/>
      <c r="N18" s="73"/>
    </row>
    <row r="19" spans="3:14" x14ac:dyDescent="0.55000000000000004">
      <c r="C19" s="74"/>
      <c r="D19" s="73"/>
      <c r="G19" s="74"/>
      <c r="H19" s="73"/>
      <c r="I19" s="2"/>
      <c r="J19" s="96" t="s">
        <v>75</v>
      </c>
      <c r="K19" s="101">
        <f>K10-K17</f>
        <v>328.31820024649903</v>
      </c>
      <c r="M19" s="96" t="s">
        <v>75</v>
      </c>
      <c r="N19" s="101">
        <f>N10-N17</f>
        <v>240.42670024649894</v>
      </c>
    </row>
    <row r="20" spans="3:14" x14ac:dyDescent="0.55000000000000004">
      <c r="C20" s="74" t="s">
        <v>13</v>
      </c>
      <c r="D20" s="136">
        <v>0.55000000000000004</v>
      </c>
      <c r="G20" s="74" t="s">
        <v>22</v>
      </c>
      <c r="H20" s="84">
        <f>'Input + Harvest Costs'!$D$21</f>
        <v>173.53937678719592</v>
      </c>
      <c r="I20" s="2"/>
      <c r="J20" s="74"/>
      <c r="K20" s="73"/>
      <c r="M20" s="74"/>
      <c r="N20" s="73"/>
    </row>
    <row r="21" spans="3:14" x14ac:dyDescent="0.55000000000000004">
      <c r="C21" s="74" t="s">
        <v>3</v>
      </c>
      <c r="D21" s="75">
        <f>D3*D4*D6*D20</f>
        <v>226.71</v>
      </c>
      <c r="G21" s="74" t="s">
        <v>48</v>
      </c>
      <c r="H21" s="84">
        <f>'Input + Harvest Costs'!$D$30</f>
        <v>31.749999999999996</v>
      </c>
      <c r="I21" s="2"/>
      <c r="J21" s="74" t="s">
        <v>92</v>
      </c>
      <c r="K21" s="73"/>
      <c r="M21" s="74" t="s">
        <v>92</v>
      </c>
      <c r="N21" s="73"/>
    </row>
    <row r="22" spans="3:14" ht="14.7" thickBot="1" x14ac:dyDescent="0.6">
      <c r="C22" s="76" t="s">
        <v>6</v>
      </c>
      <c r="D22" s="77">
        <v>30</v>
      </c>
      <c r="G22" s="74" t="s">
        <v>23</v>
      </c>
      <c r="H22" s="84">
        <f>'Input + Harvest Costs'!$D$39</f>
        <v>44.519999999999996</v>
      </c>
      <c r="I22" s="4"/>
      <c r="J22" s="102" t="s">
        <v>93</v>
      </c>
      <c r="K22" s="103"/>
      <c r="M22" s="102" t="s">
        <v>93</v>
      </c>
      <c r="N22" s="103"/>
    </row>
    <row r="23" spans="3:14" x14ac:dyDescent="0.55000000000000004">
      <c r="C23" s="74" t="s">
        <v>7</v>
      </c>
      <c r="D23" s="78">
        <f>D10</f>
        <v>40</v>
      </c>
      <c r="G23" s="74" t="s">
        <v>4</v>
      </c>
      <c r="H23" s="89">
        <f>$D$10</f>
        <v>40</v>
      </c>
      <c r="I23" s="10"/>
    </row>
    <row r="24" spans="3:14" ht="14.7" thickBot="1" x14ac:dyDescent="0.6">
      <c r="C24" s="79" t="s">
        <v>5</v>
      </c>
      <c r="D24" s="80">
        <f>D21-D22-D23</f>
        <v>156.71</v>
      </c>
      <c r="G24" s="72" t="s">
        <v>24</v>
      </c>
      <c r="H24" s="88">
        <f>SUM(H20:H22)</f>
        <v>249.8093767871959</v>
      </c>
    </row>
    <row r="25" spans="3:14" x14ac:dyDescent="0.55000000000000004">
      <c r="G25" s="74"/>
      <c r="H25" s="73"/>
      <c r="I25" s="15"/>
      <c r="J25" s="95" t="s">
        <v>102</v>
      </c>
      <c r="K25" s="71"/>
      <c r="M25" s="95" t="s">
        <v>104</v>
      </c>
      <c r="N25" s="71"/>
    </row>
    <row r="26" spans="3:14" ht="14.7" thickBot="1" x14ac:dyDescent="0.6">
      <c r="G26" s="90" t="s">
        <v>75</v>
      </c>
      <c r="H26" s="91">
        <f>H18-H24</f>
        <v>273.39062321280414</v>
      </c>
      <c r="J26" s="96" t="s">
        <v>103</v>
      </c>
      <c r="K26" s="73"/>
      <c r="M26" s="96" t="s">
        <v>105</v>
      </c>
      <c r="N26" s="73"/>
    </row>
    <row r="27" spans="3:14" x14ac:dyDescent="0.55000000000000004">
      <c r="C27" s="70" t="s">
        <v>70</v>
      </c>
      <c r="D27" s="71"/>
      <c r="J27" s="74"/>
      <c r="K27" s="73"/>
      <c r="M27" s="74"/>
      <c r="N27" s="73"/>
    </row>
    <row r="28" spans="3:14" x14ac:dyDescent="0.55000000000000004">
      <c r="C28" s="72" t="s">
        <v>71</v>
      </c>
      <c r="D28" s="73"/>
      <c r="J28" s="76" t="s">
        <v>11</v>
      </c>
      <c r="K28" s="82">
        <v>44354</v>
      </c>
      <c r="M28" s="76" t="s">
        <v>11</v>
      </c>
      <c r="N28" s="82">
        <v>43631</v>
      </c>
    </row>
    <row r="29" spans="3:14" x14ac:dyDescent="0.55000000000000004">
      <c r="C29" s="74"/>
      <c r="D29" s="73"/>
      <c r="J29" s="76" t="s">
        <v>12</v>
      </c>
      <c r="K29" s="97">
        <v>85</v>
      </c>
      <c r="M29" s="76" t="s">
        <v>12</v>
      </c>
      <c r="N29" s="97">
        <v>60</v>
      </c>
    </row>
    <row r="30" spans="3:14" x14ac:dyDescent="0.55000000000000004">
      <c r="C30" s="74" t="s">
        <v>13</v>
      </c>
      <c r="D30" s="136">
        <v>0.55000000000000004</v>
      </c>
      <c r="J30" s="76" t="s">
        <v>16</v>
      </c>
      <c r="K30" s="83">
        <v>5.77</v>
      </c>
      <c r="M30" s="74" t="s">
        <v>16</v>
      </c>
      <c r="N30" s="84">
        <f>K30</f>
        <v>5.77</v>
      </c>
    </row>
    <row r="31" spans="3:14" x14ac:dyDescent="0.55000000000000004">
      <c r="C31" s="74" t="s">
        <v>3</v>
      </c>
      <c r="D31" s="75">
        <f>D3*D4*D6*D30</f>
        <v>226.71</v>
      </c>
      <c r="J31" s="74" t="s">
        <v>17</v>
      </c>
      <c r="K31" s="84">
        <f>K29*K30</f>
        <v>490.45</v>
      </c>
      <c r="M31" s="74" t="s">
        <v>17</v>
      </c>
      <c r="N31" s="84">
        <f>N29*N30</f>
        <v>346.2</v>
      </c>
    </row>
    <row r="32" spans="3:14" x14ac:dyDescent="0.55000000000000004">
      <c r="C32" s="76" t="s">
        <v>6</v>
      </c>
      <c r="D32" s="77">
        <v>15</v>
      </c>
      <c r="J32" s="74" t="s">
        <v>76</v>
      </c>
      <c r="K32" s="84">
        <v>0</v>
      </c>
      <c r="M32" s="74" t="s">
        <v>65</v>
      </c>
      <c r="N32" s="84">
        <f>0.35*D21</f>
        <v>79.348500000000001</v>
      </c>
    </row>
    <row r="33" spans="3:14" x14ac:dyDescent="0.55000000000000004">
      <c r="C33" s="76" t="s">
        <v>10</v>
      </c>
      <c r="D33" s="77">
        <v>15</v>
      </c>
      <c r="J33" s="72" t="s">
        <v>21</v>
      </c>
      <c r="K33" s="88">
        <f>K31+K32</f>
        <v>490.45</v>
      </c>
      <c r="M33" s="72" t="s">
        <v>21</v>
      </c>
      <c r="N33" s="84">
        <f>N31+N32</f>
        <v>425.54849999999999</v>
      </c>
    </row>
    <row r="34" spans="3:14" x14ac:dyDescent="0.55000000000000004">
      <c r="C34" s="74" t="s">
        <v>7</v>
      </c>
      <c r="D34" s="78">
        <f>D10</f>
        <v>40</v>
      </c>
      <c r="J34" s="74"/>
      <c r="K34" s="73"/>
      <c r="M34" s="74"/>
      <c r="N34" s="73"/>
    </row>
    <row r="35" spans="3:14" ht="14.7" thickBot="1" x14ac:dyDescent="0.6">
      <c r="C35" s="79" t="s">
        <v>5</v>
      </c>
      <c r="D35" s="80">
        <f>D31-D32-D33-D34</f>
        <v>156.71</v>
      </c>
      <c r="J35" s="74" t="s">
        <v>22</v>
      </c>
      <c r="K35" s="98">
        <f>'Input + Harvest Costs'!P21</f>
        <v>104.80857058683438</v>
      </c>
      <c r="M35" s="74" t="s">
        <v>22</v>
      </c>
      <c r="N35" s="98">
        <f>'Input + Harvest Costs'!T21</f>
        <v>104.80857058683438</v>
      </c>
    </row>
    <row r="36" spans="3:14" x14ac:dyDescent="0.55000000000000004">
      <c r="J36" s="74" t="s">
        <v>48</v>
      </c>
      <c r="K36" s="98">
        <f>'Input + Harvest Costs'!P30</f>
        <v>34.353333333333332</v>
      </c>
      <c r="M36" s="74" t="s">
        <v>48</v>
      </c>
      <c r="N36" s="98">
        <f>'Input + Harvest Costs'!T30</f>
        <v>34.353333333333332</v>
      </c>
    </row>
    <row r="37" spans="3:14" x14ac:dyDescent="0.55000000000000004">
      <c r="J37" s="74" t="s">
        <v>23</v>
      </c>
      <c r="K37" s="98">
        <f>'Input + Harvest Costs'!P39</f>
        <v>47.16</v>
      </c>
      <c r="M37" s="74" t="s">
        <v>23</v>
      </c>
      <c r="N37" s="98">
        <f>'Input + Harvest Costs'!T39</f>
        <v>39.08</v>
      </c>
    </row>
    <row r="38" spans="3:14" x14ac:dyDescent="0.55000000000000004">
      <c r="J38" s="74"/>
      <c r="K38" s="98"/>
      <c r="M38" s="105" t="s">
        <v>68</v>
      </c>
      <c r="N38" s="106">
        <f>0.35*D10</f>
        <v>14</v>
      </c>
    </row>
    <row r="39" spans="3:14" x14ac:dyDescent="0.55000000000000004">
      <c r="J39" s="74" t="s">
        <v>107</v>
      </c>
      <c r="K39" s="99">
        <f>'Input + Harvest Costs'!P41</f>
        <v>15</v>
      </c>
      <c r="M39" s="74" t="s">
        <v>107</v>
      </c>
      <c r="N39" s="99">
        <f>'Input + Harvest Costs'!T41</f>
        <v>15</v>
      </c>
    </row>
    <row r="40" spans="3:14" x14ac:dyDescent="0.55000000000000004">
      <c r="J40" s="72" t="s">
        <v>24</v>
      </c>
      <c r="K40" s="100">
        <f>SUM(K35:K39)</f>
        <v>201.3219039201677</v>
      </c>
      <c r="M40" s="72" t="s">
        <v>24</v>
      </c>
      <c r="N40" s="100">
        <f>SUM(N35:N39)</f>
        <v>207.24190392016772</v>
      </c>
    </row>
    <row r="41" spans="3:14" x14ac:dyDescent="0.55000000000000004">
      <c r="J41" s="74"/>
      <c r="K41" s="73"/>
      <c r="M41" s="74"/>
      <c r="N41" s="73"/>
    </row>
    <row r="42" spans="3:14" x14ac:dyDescent="0.55000000000000004">
      <c r="J42" s="96" t="s">
        <v>75</v>
      </c>
      <c r="K42" s="101">
        <f>K33-K40</f>
        <v>289.12809607983229</v>
      </c>
      <c r="M42" s="96" t="s">
        <v>75</v>
      </c>
      <c r="N42" s="101">
        <f>N33-N40</f>
        <v>218.30659607983227</v>
      </c>
    </row>
    <row r="43" spans="3:14" x14ac:dyDescent="0.55000000000000004">
      <c r="J43" s="74"/>
      <c r="K43" s="73"/>
      <c r="M43" s="74"/>
      <c r="N43" s="73"/>
    </row>
    <row r="44" spans="3:14" x14ac:dyDescent="0.55000000000000004">
      <c r="J44" s="74" t="s">
        <v>108</v>
      </c>
      <c r="K44" s="73"/>
      <c r="M44" s="74" t="s">
        <v>108</v>
      </c>
      <c r="N44" s="73"/>
    </row>
    <row r="45" spans="3:14" ht="14.7" thickBot="1" x14ac:dyDescent="0.6">
      <c r="J45" s="102" t="s">
        <v>93</v>
      </c>
      <c r="K45" s="103"/>
      <c r="M45" s="102" t="s">
        <v>93</v>
      </c>
      <c r="N45" s="103"/>
    </row>
  </sheetData>
  <sheetProtection sheet="1" objects="1" scenarios="1"/>
  <mergeCells count="1">
    <mergeCell ref="C12:D1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T48"/>
  <sheetViews>
    <sheetView zoomScale="90" zoomScaleNormal="90" workbookViewId="0">
      <selection activeCell="M22" sqref="M22"/>
    </sheetView>
  </sheetViews>
  <sheetFormatPr defaultRowHeight="14.4" x14ac:dyDescent="0.55000000000000004"/>
  <cols>
    <col min="1" max="1" width="4.26171875" customWidth="1"/>
    <col min="3" max="3" width="43.26171875" customWidth="1"/>
    <col min="6" max="6" width="12.578125" customWidth="1"/>
    <col min="7" max="7" width="45.41796875" customWidth="1"/>
    <col min="8" max="9" width="9.578125" customWidth="1"/>
    <col min="10" max="10" width="12.15625" customWidth="1"/>
    <col min="11" max="11" width="44" customWidth="1"/>
    <col min="12" max="12" width="11.578125" customWidth="1"/>
    <col min="14" max="14" width="12.578125" customWidth="1"/>
    <col min="15" max="15" width="45.41796875" customWidth="1"/>
    <col min="16" max="17" width="9.578125" customWidth="1"/>
    <col min="18" max="18" width="12.15625" customWidth="1"/>
    <col min="19" max="19" width="44" customWidth="1"/>
    <col min="20" max="20" width="11.578125" customWidth="1"/>
  </cols>
  <sheetData>
    <row r="2" spans="2:20" x14ac:dyDescent="0.55000000000000004">
      <c r="B2" t="s">
        <v>90</v>
      </c>
    </row>
    <row r="3" spans="2:20" x14ac:dyDescent="0.55000000000000004">
      <c r="B3" t="s">
        <v>109</v>
      </c>
    </row>
    <row r="4" spans="2:20" ht="14.7" thickBot="1" x14ac:dyDescent="0.6"/>
    <row r="5" spans="2:20" x14ac:dyDescent="0.55000000000000004">
      <c r="B5" s="107" t="s">
        <v>59</v>
      </c>
      <c r="C5" s="108" t="s">
        <v>57</v>
      </c>
      <c r="D5" s="67"/>
      <c r="F5" s="107" t="s">
        <v>60</v>
      </c>
      <c r="G5" s="108" t="s">
        <v>57</v>
      </c>
      <c r="H5" s="67"/>
      <c r="J5" s="107" t="s">
        <v>60</v>
      </c>
      <c r="K5" s="108" t="s">
        <v>57</v>
      </c>
      <c r="L5" s="67"/>
      <c r="N5" s="107" t="s">
        <v>106</v>
      </c>
      <c r="O5" s="108" t="s">
        <v>57</v>
      </c>
      <c r="P5" s="67"/>
      <c r="R5" s="107" t="s">
        <v>106</v>
      </c>
      <c r="S5" s="108" t="s">
        <v>57</v>
      </c>
      <c r="T5" s="67"/>
    </row>
    <row r="6" spans="2:20" x14ac:dyDescent="0.55000000000000004">
      <c r="B6" s="69"/>
      <c r="C6" s="5" t="s">
        <v>26</v>
      </c>
      <c r="D6" s="109">
        <v>63.599999999999994</v>
      </c>
      <c r="F6" s="119" t="s">
        <v>61</v>
      </c>
      <c r="G6" s="5" t="s">
        <v>26</v>
      </c>
      <c r="H6" s="109">
        <v>47.6</v>
      </c>
      <c r="I6" s="11"/>
      <c r="J6" s="119" t="s">
        <v>64</v>
      </c>
      <c r="K6" s="5" t="s">
        <v>26</v>
      </c>
      <c r="L6" s="109">
        <v>47.6</v>
      </c>
      <c r="N6" s="119" t="s">
        <v>61</v>
      </c>
      <c r="O6" s="5" t="s">
        <v>26</v>
      </c>
      <c r="P6" s="109">
        <v>11.37</v>
      </c>
      <c r="Q6" s="11"/>
      <c r="R6" s="119" t="s">
        <v>64</v>
      </c>
      <c r="S6" s="5" t="s">
        <v>26</v>
      </c>
      <c r="T6" s="109">
        <v>11.37</v>
      </c>
    </row>
    <row r="7" spans="2:20" x14ac:dyDescent="0.55000000000000004">
      <c r="B7" s="69"/>
      <c r="C7" s="5" t="s">
        <v>27</v>
      </c>
      <c r="D7" s="109">
        <v>49.47</v>
      </c>
      <c r="F7" s="119" t="s">
        <v>62</v>
      </c>
      <c r="G7" s="5" t="s">
        <v>27</v>
      </c>
      <c r="H7" s="109">
        <v>12.85</v>
      </c>
      <c r="I7" s="11"/>
      <c r="J7" s="119" t="s">
        <v>62</v>
      </c>
      <c r="K7" s="5" t="s">
        <v>27</v>
      </c>
      <c r="L7" s="109">
        <f>H7</f>
        <v>12.85</v>
      </c>
      <c r="N7" s="119" t="s">
        <v>62</v>
      </c>
      <c r="O7" s="5" t="s">
        <v>27</v>
      </c>
      <c r="P7" s="109">
        <v>50.23</v>
      </c>
      <c r="Q7" s="11"/>
      <c r="R7" s="119" t="s">
        <v>62</v>
      </c>
      <c r="S7" s="5" t="s">
        <v>27</v>
      </c>
      <c r="T7" s="109">
        <f>P7</f>
        <v>50.23</v>
      </c>
    </row>
    <row r="8" spans="2:20" x14ac:dyDescent="0.55000000000000004">
      <c r="B8" s="69"/>
      <c r="C8" s="5" t="s">
        <v>28</v>
      </c>
      <c r="D8" s="109">
        <v>5</v>
      </c>
      <c r="F8" s="119" t="s">
        <v>63</v>
      </c>
      <c r="G8" s="5" t="s">
        <v>28</v>
      </c>
      <c r="H8" s="109">
        <v>5</v>
      </c>
      <c r="I8" s="11"/>
      <c r="J8" s="119" t="s">
        <v>63</v>
      </c>
      <c r="K8" s="5" t="s">
        <v>28</v>
      </c>
      <c r="L8" s="109">
        <v>5</v>
      </c>
      <c r="N8" s="119" t="s">
        <v>63</v>
      </c>
      <c r="O8" s="5" t="s">
        <v>28</v>
      </c>
      <c r="P8" s="109">
        <v>5</v>
      </c>
      <c r="Q8" s="11"/>
      <c r="R8" s="119" t="s">
        <v>63</v>
      </c>
      <c r="S8" s="5" t="s">
        <v>28</v>
      </c>
      <c r="T8" s="109">
        <v>5</v>
      </c>
    </row>
    <row r="9" spans="2:20" x14ac:dyDescent="0.55000000000000004">
      <c r="B9" s="69"/>
      <c r="C9" s="5" t="s">
        <v>29</v>
      </c>
      <c r="D9" s="109"/>
      <c r="F9" s="69"/>
      <c r="G9" s="5" t="s">
        <v>29</v>
      </c>
      <c r="H9" s="109"/>
      <c r="I9" s="11"/>
      <c r="J9" s="69"/>
      <c r="K9" s="5" t="s">
        <v>29</v>
      </c>
      <c r="L9" s="109"/>
      <c r="N9" s="69"/>
      <c r="O9" s="5" t="s">
        <v>29</v>
      </c>
      <c r="P9" s="109"/>
      <c r="Q9" s="11"/>
      <c r="R9" s="69"/>
      <c r="S9" s="5" t="s">
        <v>29</v>
      </c>
      <c r="T9" s="109"/>
    </row>
    <row r="10" spans="2:20" x14ac:dyDescent="0.55000000000000004">
      <c r="B10" s="69"/>
      <c r="C10" s="5" t="s">
        <v>30</v>
      </c>
      <c r="D10" s="109">
        <v>10.63</v>
      </c>
      <c r="F10" s="69"/>
      <c r="G10" s="5" t="s">
        <v>30</v>
      </c>
      <c r="H10" s="109">
        <f>D10</f>
        <v>10.63</v>
      </c>
      <c r="I10" s="11"/>
      <c r="J10" s="69"/>
      <c r="K10" s="5" t="s">
        <v>30</v>
      </c>
      <c r="L10" s="109">
        <f>H10</f>
        <v>10.63</v>
      </c>
      <c r="N10" s="69"/>
      <c r="O10" s="5" t="s">
        <v>30</v>
      </c>
      <c r="P10" s="109">
        <v>10.63</v>
      </c>
      <c r="Q10" s="11"/>
      <c r="R10" s="69"/>
      <c r="S10" s="5" t="s">
        <v>30</v>
      </c>
      <c r="T10" s="109">
        <f>P10</f>
        <v>10.63</v>
      </c>
    </row>
    <row r="11" spans="2:20" x14ac:dyDescent="0.55000000000000004">
      <c r="B11" s="69"/>
      <c r="C11" s="5" t="s">
        <v>31</v>
      </c>
      <c r="D11" s="109">
        <v>38.56</v>
      </c>
      <c r="F11" s="69"/>
      <c r="G11" s="5" t="s">
        <v>31</v>
      </c>
      <c r="H11" s="109">
        <v>33.651562499999997</v>
      </c>
      <c r="I11" s="11"/>
      <c r="J11" s="69"/>
      <c r="K11" s="5" t="s">
        <v>31</v>
      </c>
      <c r="L11" s="109">
        <v>33.651562499999997</v>
      </c>
      <c r="N11" s="69"/>
      <c r="O11" s="5" t="s">
        <v>31</v>
      </c>
      <c r="P11" s="109">
        <v>18.440000000000001</v>
      </c>
      <c r="Q11" s="11"/>
      <c r="R11" s="69"/>
      <c r="S11" s="5" t="s">
        <v>31</v>
      </c>
      <c r="T11" s="109">
        <f>P11</f>
        <v>18.440000000000001</v>
      </c>
    </row>
    <row r="12" spans="2:20" x14ac:dyDescent="0.55000000000000004">
      <c r="B12" s="69"/>
      <c r="C12" s="5" t="s">
        <v>32</v>
      </c>
      <c r="D12" s="109">
        <v>25.25</v>
      </c>
      <c r="F12" s="69"/>
      <c r="G12" s="5" t="s">
        <v>32</v>
      </c>
      <c r="H12" s="109">
        <v>13.815</v>
      </c>
      <c r="I12" s="11"/>
      <c r="J12" s="69"/>
      <c r="K12" s="5" t="s">
        <v>32</v>
      </c>
      <c r="L12" s="109">
        <v>13.815</v>
      </c>
      <c r="N12" s="69"/>
      <c r="O12" s="5" t="s">
        <v>32</v>
      </c>
      <c r="P12" s="109">
        <v>3.63</v>
      </c>
      <c r="Q12" s="11"/>
      <c r="R12" s="69"/>
      <c r="S12" s="5" t="s">
        <v>32</v>
      </c>
      <c r="T12" s="109">
        <f>P12</f>
        <v>3.63</v>
      </c>
    </row>
    <row r="13" spans="2:20" x14ac:dyDescent="0.55000000000000004">
      <c r="B13" s="69"/>
      <c r="C13" s="5" t="s">
        <v>33</v>
      </c>
      <c r="D13" s="109">
        <v>0</v>
      </c>
      <c r="F13" s="69"/>
      <c r="G13" s="5" t="s">
        <v>33</v>
      </c>
      <c r="H13" s="109">
        <v>0</v>
      </c>
      <c r="I13" s="11"/>
      <c r="J13" s="69"/>
      <c r="K13" s="5" t="s">
        <v>33</v>
      </c>
      <c r="L13" s="109">
        <v>0</v>
      </c>
      <c r="N13" s="69"/>
      <c r="O13" s="5" t="s">
        <v>33</v>
      </c>
      <c r="P13" s="109">
        <v>0</v>
      </c>
      <c r="Q13" s="11"/>
      <c r="R13" s="69"/>
      <c r="S13" s="5" t="s">
        <v>33</v>
      </c>
      <c r="T13" s="109">
        <v>0</v>
      </c>
    </row>
    <row r="14" spans="2:20" x14ac:dyDescent="0.55000000000000004">
      <c r="B14" s="69"/>
      <c r="C14" s="5" t="s">
        <v>34</v>
      </c>
      <c r="D14" s="109">
        <v>0</v>
      </c>
      <c r="F14" s="69"/>
      <c r="G14" s="5" t="s">
        <v>34</v>
      </c>
      <c r="H14" s="109">
        <v>0</v>
      </c>
      <c r="I14" s="11"/>
      <c r="J14" s="69"/>
      <c r="K14" s="5" t="s">
        <v>34</v>
      </c>
      <c r="L14" s="109">
        <v>0</v>
      </c>
      <c r="N14" s="69"/>
      <c r="O14" s="5" t="s">
        <v>34</v>
      </c>
      <c r="P14" s="109">
        <v>0</v>
      </c>
      <c r="Q14" s="11"/>
      <c r="R14" s="69"/>
      <c r="S14" s="5" t="s">
        <v>34</v>
      </c>
      <c r="T14" s="109">
        <v>0</v>
      </c>
    </row>
    <row r="15" spans="2:20" x14ac:dyDescent="0.55000000000000004">
      <c r="B15" s="69"/>
      <c r="C15" s="5" t="s">
        <v>35</v>
      </c>
      <c r="D15" s="109">
        <v>0</v>
      </c>
      <c r="F15" s="69"/>
      <c r="G15" s="5" t="s">
        <v>35</v>
      </c>
      <c r="H15" s="109">
        <v>0</v>
      </c>
      <c r="I15" s="11"/>
      <c r="J15" s="69"/>
      <c r="K15" s="5" t="s">
        <v>35</v>
      </c>
      <c r="L15" s="109">
        <v>0</v>
      </c>
      <c r="N15" s="69"/>
      <c r="O15" s="5" t="s">
        <v>35</v>
      </c>
      <c r="P15" s="109">
        <v>0</v>
      </c>
      <c r="Q15" s="11"/>
      <c r="R15" s="69"/>
      <c r="S15" s="5" t="s">
        <v>35</v>
      </c>
      <c r="T15" s="109">
        <v>0</v>
      </c>
    </row>
    <row r="16" spans="2:20" x14ac:dyDescent="0.55000000000000004">
      <c r="B16" s="69"/>
      <c r="C16" s="5" t="s">
        <v>42</v>
      </c>
      <c r="D16" s="110">
        <v>2</v>
      </c>
      <c r="F16" s="69"/>
      <c r="G16" s="5" t="s">
        <v>42</v>
      </c>
      <c r="H16" s="110">
        <v>2</v>
      </c>
      <c r="I16" s="16"/>
      <c r="J16" s="69"/>
      <c r="K16" s="5" t="s">
        <v>42</v>
      </c>
      <c r="L16" s="110">
        <v>2</v>
      </c>
      <c r="N16" s="69"/>
      <c r="O16" s="5" t="s">
        <v>42</v>
      </c>
      <c r="P16" s="110">
        <v>2</v>
      </c>
      <c r="Q16" s="16"/>
      <c r="R16" s="69"/>
      <c r="S16" s="5" t="s">
        <v>42</v>
      </c>
      <c r="T16" s="110">
        <v>2</v>
      </c>
    </row>
    <row r="17" spans="2:20" x14ac:dyDescent="0.55000000000000004">
      <c r="B17" s="69"/>
      <c r="C17" s="5" t="s">
        <v>43</v>
      </c>
      <c r="D17" s="109">
        <v>6.5</v>
      </c>
      <c r="F17" s="69"/>
      <c r="G17" s="5" t="s">
        <v>43</v>
      </c>
      <c r="H17" s="109">
        <v>6.5</v>
      </c>
      <c r="I17" s="11"/>
      <c r="J17" s="69"/>
      <c r="K17" s="5" t="s">
        <v>43</v>
      </c>
      <c r="L17" s="109">
        <v>6.5</v>
      </c>
      <c r="N17" s="69"/>
      <c r="O17" s="5" t="s">
        <v>43</v>
      </c>
      <c r="P17" s="109">
        <v>6.5</v>
      </c>
      <c r="Q17" s="11"/>
      <c r="R17" s="69"/>
      <c r="S17" s="5" t="s">
        <v>43</v>
      </c>
      <c r="T17" s="109">
        <v>6.5</v>
      </c>
    </row>
    <row r="18" spans="2:20" x14ac:dyDescent="0.55000000000000004">
      <c r="B18" s="69"/>
      <c r="C18" s="5" t="s">
        <v>44</v>
      </c>
      <c r="D18" s="109">
        <v>0</v>
      </c>
      <c r="F18" s="69"/>
      <c r="G18" s="5" t="s">
        <v>44</v>
      </c>
      <c r="H18" s="109">
        <v>0</v>
      </c>
      <c r="I18" s="11"/>
      <c r="J18" s="69"/>
      <c r="K18" s="5" t="s">
        <v>44</v>
      </c>
      <c r="L18" s="109">
        <v>0</v>
      </c>
      <c r="N18" s="69"/>
      <c r="O18" s="5" t="s">
        <v>44</v>
      </c>
      <c r="P18" s="109">
        <v>0</v>
      </c>
      <c r="Q18" s="11"/>
      <c r="R18" s="69"/>
      <c r="S18" s="5" t="s">
        <v>44</v>
      </c>
      <c r="T18" s="109">
        <v>0</v>
      </c>
    </row>
    <row r="19" spans="2:20" x14ac:dyDescent="0.55000000000000004">
      <c r="B19" s="69"/>
      <c r="C19" s="5" t="s">
        <v>45</v>
      </c>
      <c r="D19" s="109">
        <v>10.609376787195913</v>
      </c>
      <c r="F19" s="69"/>
      <c r="G19" s="5" t="s">
        <v>45</v>
      </c>
      <c r="H19" s="109">
        <v>7.6385705868343887</v>
      </c>
      <c r="I19" s="14"/>
      <c r="J19" s="69"/>
      <c r="K19" s="5" t="s">
        <v>45</v>
      </c>
      <c r="L19" s="109">
        <v>7.6385705868343887</v>
      </c>
      <c r="N19" s="69"/>
      <c r="O19" s="5" t="s">
        <v>45</v>
      </c>
      <c r="P19" s="109">
        <v>7.6385705868343887</v>
      </c>
      <c r="Q19" s="14"/>
      <c r="R19" s="69"/>
      <c r="S19" s="5" t="s">
        <v>45</v>
      </c>
      <c r="T19" s="109">
        <v>7.6385705868343887</v>
      </c>
    </row>
    <row r="20" spans="2:20" x14ac:dyDescent="0.55000000000000004">
      <c r="B20" s="69"/>
      <c r="C20" s="111" t="s">
        <v>67</v>
      </c>
      <c r="D20" s="112">
        <f>-(27.45+10.63)</f>
        <v>-38.08</v>
      </c>
      <c r="F20" s="69"/>
      <c r="G20" s="111" t="s">
        <v>67</v>
      </c>
      <c r="H20" s="112">
        <f>-(H10)</f>
        <v>-10.63</v>
      </c>
      <c r="I20" s="14"/>
      <c r="J20" s="69"/>
      <c r="K20" s="111" t="s">
        <v>67</v>
      </c>
      <c r="L20" s="112">
        <f>H20</f>
        <v>-10.63</v>
      </c>
      <c r="N20" s="69"/>
      <c r="O20" s="111" t="s">
        <v>67</v>
      </c>
      <c r="P20" s="112">
        <f>-(P10)</f>
        <v>-10.63</v>
      </c>
      <c r="Q20" s="14"/>
      <c r="R20" s="69"/>
      <c r="S20" s="111" t="s">
        <v>67</v>
      </c>
      <c r="T20" s="112">
        <f>P20</f>
        <v>-10.63</v>
      </c>
    </row>
    <row r="21" spans="2:20" x14ac:dyDescent="0.55000000000000004">
      <c r="B21" s="69"/>
      <c r="C21" s="113" t="s">
        <v>47</v>
      </c>
      <c r="D21" s="114">
        <f>SUM(D6:D20)</f>
        <v>173.53937678719592</v>
      </c>
      <c r="F21" s="69"/>
      <c r="G21" s="113" t="s">
        <v>47</v>
      </c>
      <c r="H21" s="114">
        <f>SUM(H6:H20)</f>
        <v>129.05513308683439</v>
      </c>
      <c r="I21" s="13"/>
      <c r="J21" s="69"/>
      <c r="K21" s="113" t="s">
        <v>47</v>
      </c>
      <c r="L21" s="114">
        <f>SUM(L6:L20)</f>
        <v>129.05513308683439</v>
      </c>
      <c r="N21" s="69"/>
      <c r="O21" s="113" t="s">
        <v>47</v>
      </c>
      <c r="P21" s="114">
        <f>SUM(P6:P20)</f>
        <v>104.80857058683438</v>
      </c>
      <c r="Q21" s="13"/>
      <c r="R21" s="69"/>
      <c r="S21" s="113" t="s">
        <v>47</v>
      </c>
      <c r="T21" s="114">
        <f>SUM(T6:T20)</f>
        <v>104.80857058683438</v>
      </c>
    </row>
    <row r="22" spans="2:20" x14ac:dyDescent="0.55000000000000004">
      <c r="B22" s="69"/>
      <c r="C22" s="5"/>
      <c r="D22" s="68"/>
      <c r="F22" s="69"/>
      <c r="G22" s="5"/>
      <c r="H22" s="68"/>
      <c r="J22" s="69"/>
      <c r="K22" s="5"/>
      <c r="L22" s="68"/>
      <c r="N22" s="69"/>
      <c r="O22" s="5"/>
      <c r="P22" s="68"/>
      <c r="R22" s="69"/>
      <c r="S22" s="5"/>
      <c r="T22" s="68"/>
    </row>
    <row r="23" spans="2:20" x14ac:dyDescent="0.55000000000000004">
      <c r="B23" s="69"/>
      <c r="C23" s="5" t="s">
        <v>52</v>
      </c>
      <c r="D23" s="92"/>
      <c r="F23" s="69"/>
      <c r="G23" s="5" t="s">
        <v>52</v>
      </c>
      <c r="H23" s="68"/>
      <c r="J23" s="69"/>
      <c r="K23" s="5" t="s">
        <v>52</v>
      </c>
      <c r="L23" s="68"/>
      <c r="N23" s="69"/>
      <c r="O23" s="5" t="s">
        <v>52</v>
      </c>
      <c r="P23" s="68"/>
      <c r="R23" s="69"/>
      <c r="S23" s="5" t="s">
        <v>52</v>
      </c>
      <c r="T23" s="68"/>
    </row>
    <row r="24" spans="2:20" x14ac:dyDescent="0.55000000000000004">
      <c r="B24" s="69"/>
      <c r="C24" s="5" t="s">
        <v>36</v>
      </c>
      <c r="D24" s="109">
        <v>18.649999999999999</v>
      </c>
      <c r="F24" s="69"/>
      <c r="G24" s="5" t="s">
        <v>36</v>
      </c>
      <c r="H24" s="109">
        <v>20.22</v>
      </c>
      <c r="I24" s="11"/>
      <c r="J24" s="69"/>
      <c r="K24" s="5" t="s">
        <v>36</v>
      </c>
      <c r="L24" s="109">
        <v>20.22</v>
      </c>
      <c r="N24" s="69"/>
      <c r="O24" s="5" t="s">
        <v>36</v>
      </c>
      <c r="P24" s="109">
        <v>19.57</v>
      </c>
      <c r="Q24" s="11"/>
      <c r="R24" s="69"/>
      <c r="S24" s="5" t="s">
        <v>36</v>
      </c>
      <c r="T24" s="109">
        <v>19.57</v>
      </c>
    </row>
    <row r="25" spans="2:20" x14ac:dyDescent="0.55000000000000004">
      <c r="B25" s="69"/>
      <c r="C25" s="5" t="s">
        <v>37</v>
      </c>
      <c r="D25" s="109">
        <v>16.670000000000002</v>
      </c>
      <c r="F25" s="69"/>
      <c r="G25" s="5" t="s">
        <v>37</v>
      </c>
      <c r="H25" s="109">
        <v>0</v>
      </c>
      <c r="I25" s="11"/>
      <c r="J25" s="69"/>
      <c r="K25" s="5" t="s">
        <v>37</v>
      </c>
      <c r="L25" s="109">
        <f>H25</f>
        <v>0</v>
      </c>
      <c r="N25" s="69"/>
      <c r="O25" s="5" t="s">
        <v>37</v>
      </c>
      <c r="P25" s="109">
        <v>6.05</v>
      </c>
      <c r="Q25" s="11"/>
      <c r="R25" s="69"/>
      <c r="S25" s="5" t="s">
        <v>37</v>
      </c>
      <c r="T25" s="109">
        <f>P25</f>
        <v>6.05</v>
      </c>
    </row>
    <row r="26" spans="2:20" x14ac:dyDescent="0.55000000000000004">
      <c r="B26" s="69"/>
      <c r="C26" s="5" t="s">
        <v>38</v>
      </c>
      <c r="D26" s="109">
        <v>0</v>
      </c>
      <c r="F26" s="69"/>
      <c r="G26" s="5" t="s">
        <v>38</v>
      </c>
      <c r="H26" s="109">
        <v>0</v>
      </c>
      <c r="I26" s="11"/>
      <c r="J26" s="69"/>
      <c r="K26" s="5" t="s">
        <v>38</v>
      </c>
      <c r="L26" s="109">
        <v>0</v>
      </c>
      <c r="N26" s="69"/>
      <c r="O26" s="5" t="s">
        <v>38</v>
      </c>
      <c r="P26" s="109">
        <v>0</v>
      </c>
      <c r="Q26" s="11"/>
      <c r="R26" s="69"/>
      <c r="S26" s="5" t="s">
        <v>38</v>
      </c>
      <c r="T26" s="109">
        <v>0</v>
      </c>
    </row>
    <row r="27" spans="2:20" x14ac:dyDescent="0.55000000000000004">
      <c r="B27" s="69"/>
      <c r="C27" s="5" t="s">
        <v>39</v>
      </c>
      <c r="D27" s="109">
        <f>6.55*3</f>
        <v>19.649999999999999</v>
      </c>
      <c r="F27" s="69"/>
      <c r="G27" s="5" t="s">
        <v>39</v>
      </c>
      <c r="H27" s="109">
        <f>6.55*2</f>
        <v>13.1</v>
      </c>
      <c r="I27" s="11"/>
      <c r="J27" s="69"/>
      <c r="K27" s="5" t="s">
        <v>39</v>
      </c>
      <c r="L27" s="109">
        <f>H27</f>
        <v>13.1</v>
      </c>
      <c r="N27" s="69"/>
      <c r="O27" s="5" t="s">
        <v>39</v>
      </c>
      <c r="P27" s="109">
        <f>6.55*2</f>
        <v>13.1</v>
      </c>
      <c r="Q27" s="11"/>
      <c r="R27" s="69"/>
      <c r="S27" s="5" t="s">
        <v>39</v>
      </c>
      <c r="T27" s="109">
        <f>P27</f>
        <v>13.1</v>
      </c>
    </row>
    <row r="28" spans="2:20" x14ac:dyDescent="0.55000000000000004">
      <c r="B28" s="69"/>
      <c r="C28" s="5" t="s">
        <v>40</v>
      </c>
      <c r="D28" s="109">
        <v>0</v>
      </c>
      <c r="F28" s="69"/>
      <c r="G28" s="5" t="s">
        <v>40</v>
      </c>
      <c r="H28" s="109">
        <v>0</v>
      </c>
      <c r="I28" s="14"/>
      <c r="J28" s="69"/>
      <c r="K28" s="5" t="s">
        <v>40</v>
      </c>
      <c r="L28" s="109">
        <v>0</v>
      </c>
      <c r="N28" s="69"/>
      <c r="O28" s="5" t="s">
        <v>40</v>
      </c>
      <c r="P28" s="109">
        <v>0</v>
      </c>
      <c r="Q28" s="14"/>
      <c r="R28" s="69"/>
      <c r="S28" s="5" t="s">
        <v>40</v>
      </c>
      <c r="T28" s="109">
        <v>0</v>
      </c>
    </row>
    <row r="29" spans="2:20" x14ac:dyDescent="0.55000000000000004">
      <c r="B29" s="69"/>
      <c r="C29" s="111" t="s">
        <v>67</v>
      </c>
      <c r="D29" s="112">
        <f>-(D25+D27/3)</f>
        <v>-23.220000000000002</v>
      </c>
      <c r="F29" s="69"/>
      <c r="G29" s="111" t="s">
        <v>67</v>
      </c>
      <c r="H29" s="112">
        <f>H27/3</f>
        <v>4.3666666666666663</v>
      </c>
      <c r="I29" s="14"/>
      <c r="J29" s="69"/>
      <c r="K29" s="111" t="s">
        <v>67</v>
      </c>
      <c r="L29" s="112">
        <f>H29</f>
        <v>4.3666666666666663</v>
      </c>
      <c r="N29" s="69"/>
      <c r="O29" s="111" t="s">
        <v>67</v>
      </c>
      <c r="P29" s="112">
        <f>-(P27/3)</f>
        <v>-4.3666666666666663</v>
      </c>
      <c r="Q29" s="14"/>
      <c r="R29" s="69"/>
      <c r="S29" s="111" t="s">
        <v>67</v>
      </c>
      <c r="T29" s="112">
        <f>P29</f>
        <v>-4.3666666666666663</v>
      </c>
    </row>
    <row r="30" spans="2:20" x14ac:dyDescent="0.55000000000000004">
      <c r="B30" s="69"/>
      <c r="C30" s="115" t="s">
        <v>48</v>
      </c>
      <c r="D30" s="93">
        <f>SUM(D24:D29)</f>
        <v>31.749999999999996</v>
      </c>
      <c r="F30" s="69"/>
      <c r="G30" s="115" t="s">
        <v>48</v>
      </c>
      <c r="H30" s="93">
        <f>SUM(H24:H29)</f>
        <v>37.686666666666667</v>
      </c>
      <c r="I30" s="13"/>
      <c r="J30" s="69"/>
      <c r="K30" s="115" t="s">
        <v>48</v>
      </c>
      <c r="L30" s="93">
        <f>SUM(L24:L29)</f>
        <v>37.686666666666667</v>
      </c>
      <c r="N30" s="69"/>
      <c r="O30" s="115" t="s">
        <v>48</v>
      </c>
      <c r="P30" s="93">
        <f>SUM(P24:P29)</f>
        <v>34.353333333333332</v>
      </c>
      <c r="Q30" s="13"/>
      <c r="R30" s="69"/>
      <c r="S30" s="115" t="s">
        <v>48</v>
      </c>
      <c r="T30" s="93">
        <f>SUM(T24:T29)</f>
        <v>34.353333333333332</v>
      </c>
    </row>
    <row r="31" spans="2:20" x14ac:dyDescent="0.55000000000000004">
      <c r="B31" s="69"/>
      <c r="C31" s="5"/>
      <c r="D31" s="68"/>
      <c r="F31" s="69"/>
      <c r="G31" s="5"/>
      <c r="H31" s="68"/>
      <c r="J31" s="69"/>
      <c r="K31" s="5"/>
      <c r="L31" s="68"/>
      <c r="N31" s="69"/>
      <c r="O31" s="5"/>
      <c r="P31" s="68"/>
      <c r="R31" s="69"/>
      <c r="S31" s="5"/>
      <c r="T31" s="68"/>
    </row>
    <row r="32" spans="2:20" x14ac:dyDescent="0.55000000000000004">
      <c r="B32" s="69"/>
      <c r="C32" s="5" t="s">
        <v>51</v>
      </c>
      <c r="D32" s="68"/>
      <c r="F32" s="69"/>
      <c r="G32" s="5" t="s">
        <v>51</v>
      </c>
      <c r="H32" s="68"/>
      <c r="J32" s="69"/>
      <c r="K32" s="5" t="s">
        <v>51</v>
      </c>
      <c r="L32" s="68"/>
      <c r="N32" s="69"/>
      <c r="O32" s="5" t="s">
        <v>51</v>
      </c>
      <c r="P32" s="68"/>
      <c r="R32" s="69"/>
      <c r="S32" s="5" t="s">
        <v>51</v>
      </c>
      <c r="T32" s="68"/>
    </row>
    <row r="33" spans="2:20" x14ac:dyDescent="0.55000000000000004">
      <c r="B33" s="69"/>
      <c r="C33" s="5" t="s">
        <v>56</v>
      </c>
      <c r="D33" s="109">
        <v>27</v>
      </c>
      <c r="F33" s="69"/>
      <c r="G33" s="5" t="s">
        <v>56</v>
      </c>
      <c r="H33" s="109">
        <v>27</v>
      </c>
      <c r="I33" s="11"/>
      <c r="J33" s="69"/>
      <c r="K33" s="5" t="s">
        <v>56</v>
      </c>
      <c r="L33" s="109">
        <v>27</v>
      </c>
      <c r="N33" s="69"/>
      <c r="O33" s="5" t="s">
        <v>56</v>
      </c>
      <c r="P33" s="109">
        <v>27</v>
      </c>
      <c r="Q33" s="11"/>
      <c r="R33" s="69"/>
      <c r="S33" s="5" t="s">
        <v>56</v>
      </c>
      <c r="T33" s="109">
        <v>27</v>
      </c>
    </row>
    <row r="34" spans="2:20" x14ac:dyDescent="0.55000000000000004">
      <c r="B34" s="69"/>
      <c r="C34" s="5" t="s">
        <v>49</v>
      </c>
      <c r="D34" s="109">
        <v>0.2</v>
      </c>
      <c r="F34" s="69"/>
      <c r="G34" s="5" t="s">
        <v>49</v>
      </c>
      <c r="H34" s="120">
        <v>0.22</v>
      </c>
      <c r="J34" s="69"/>
      <c r="K34" s="5" t="s">
        <v>49</v>
      </c>
      <c r="L34" s="120">
        <v>0.22</v>
      </c>
      <c r="N34" s="69"/>
      <c r="O34" s="5" t="s">
        <v>49</v>
      </c>
      <c r="P34" s="120">
        <v>0.19</v>
      </c>
      <c r="R34" s="69"/>
      <c r="S34" s="5" t="s">
        <v>49</v>
      </c>
      <c r="T34" s="120">
        <v>0.22</v>
      </c>
    </row>
    <row r="35" spans="2:20" x14ac:dyDescent="0.55000000000000004">
      <c r="B35" s="69"/>
      <c r="C35" s="5" t="s">
        <v>50</v>
      </c>
      <c r="D35" s="116">
        <v>90</v>
      </c>
      <c r="F35" s="69"/>
      <c r="G35" s="5" t="s">
        <v>50</v>
      </c>
      <c r="H35" s="120">
        <v>26</v>
      </c>
      <c r="J35" s="69"/>
      <c r="K35" s="5" t="s">
        <v>50</v>
      </c>
      <c r="L35" s="120">
        <v>26</v>
      </c>
      <c r="N35" s="69"/>
      <c r="O35" s="5" t="s">
        <v>50</v>
      </c>
      <c r="P35" s="120">
        <v>46</v>
      </c>
      <c r="R35" s="69"/>
      <c r="S35" s="5" t="s">
        <v>50</v>
      </c>
      <c r="T35" s="120">
        <v>46</v>
      </c>
    </row>
    <row r="36" spans="2:20" x14ac:dyDescent="0.55000000000000004">
      <c r="B36" s="69"/>
      <c r="C36" s="5" t="s">
        <v>53</v>
      </c>
      <c r="D36" s="123">
        <f>IF('Compare Options'!H11&gt;'Input + Harvest Costs'!D35,'Input + Harvest Costs'!D34*('Compare Options'!H11-'Input + Harvest Costs'!D35),0)</f>
        <v>1.2000000000000002</v>
      </c>
      <c r="F36" s="69"/>
      <c r="G36" s="5" t="s">
        <v>53</v>
      </c>
      <c r="H36" s="123">
        <f>IF('Compare Options'!K6&gt;'Input + Harvest Costs'!H35,'Input + Harvest Costs'!H34*('Compare Options'!K6-'Input + Harvest Costs'!H35),0)</f>
        <v>3.52</v>
      </c>
      <c r="I36" s="11"/>
      <c r="J36" s="69"/>
      <c r="K36" s="5" t="s">
        <v>53</v>
      </c>
      <c r="L36" s="123">
        <f>IF('Compare Options'!N6&gt;'Input + Harvest Costs'!L35,'Input + Harvest Costs'!L34*('Compare Options'!N6-'Input + Harvest Costs'!L35),0)</f>
        <v>0.88</v>
      </c>
      <c r="N36" s="69"/>
      <c r="O36" s="5" t="s">
        <v>53</v>
      </c>
      <c r="P36" s="123">
        <f>IF('Compare Options'!K29&gt;'Input + Harvest Costs'!P35,'Input + Harvest Costs'!P34*('Compare Options'!K29-'Input + Harvest Costs'!P35),0)</f>
        <v>7.41</v>
      </c>
      <c r="Q36" s="11"/>
      <c r="R36" s="69"/>
      <c r="S36" s="5" t="s">
        <v>53</v>
      </c>
      <c r="T36" s="123">
        <f>IF('Compare Options'!N29&gt;'Input + Harvest Costs'!T35,'Input + Harvest Costs'!T34*('Compare Options'!N29-'Input + Harvest Costs'!T35),0)</f>
        <v>3.08</v>
      </c>
    </row>
    <row r="37" spans="2:20" x14ac:dyDescent="0.55000000000000004">
      <c r="B37" s="69"/>
      <c r="C37" s="5" t="s">
        <v>54</v>
      </c>
      <c r="D37" s="109">
        <v>0.17</v>
      </c>
      <c r="F37" s="69"/>
      <c r="G37" s="5" t="s">
        <v>54</v>
      </c>
      <c r="H37" s="120">
        <v>0.16</v>
      </c>
      <c r="J37" s="69"/>
      <c r="K37" s="5" t="s">
        <v>54</v>
      </c>
      <c r="L37" s="120">
        <v>0.16</v>
      </c>
      <c r="N37" s="69"/>
      <c r="O37" s="5" t="s">
        <v>54</v>
      </c>
      <c r="P37" s="120">
        <v>0.15</v>
      </c>
      <c r="R37" s="69"/>
      <c r="S37" s="5" t="s">
        <v>54</v>
      </c>
      <c r="T37" s="120">
        <v>0.15</v>
      </c>
    </row>
    <row r="38" spans="2:20" x14ac:dyDescent="0.55000000000000004">
      <c r="B38" s="69"/>
      <c r="C38" s="5" t="s">
        <v>55</v>
      </c>
      <c r="D38" s="124">
        <f>D37*'Compare Options'!H11</f>
        <v>16.32</v>
      </c>
      <c r="F38" s="69"/>
      <c r="G38" s="5" t="s">
        <v>55</v>
      </c>
      <c r="H38" s="124">
        <f>H37*'Compare Options'!K6</f>
        <v>6.72</v>
      </c>
      <c r="I38" s="14"/>
      <c r="J38" s="69"/>
      <c r="K38" s="5" t="s">
        <v>55</v>
      </c>
      <c r="L38" s="124">
        <f>L37*'Compare Options'!N6</f>
        <v>4.8</v>
      </c>
      <c r="N38" s="69"/>
      <c r="O38" s="5" t="s">
        <v>55</v>
      </c>
      <c r="P38" s="124">
        <f>P37*'Compare Options'!K29</f>
        <v>12.75</v>
      </c>
      <c r="Q38" s="14"/>
      <c r="R38" s="69"/>
      <c r="S38" s="5" t="s">
        <v>55</v>
      </c>
      <c r="T38" s="124">
        <f>T37*'Compare Options'!N29</f>
        <v>9</v>
      </c>
    </row>
    <row r="39" spans="2:20" x14ac:dyDescent="0.55000000000000004">
      <c r="B39" s="69"/>
      <c r="C39" s="115" t="s">
        <v>46</v>
      </c>
      <c r="D39" s="114">
        <f>D33+D36+D38</f>
        <v>44.519999999999996</v>
      </c>
      <c r="F39" s="69"/>
      <c r="G39" s="115" t="s">
        <v>46</v>
      </c>
      <c r="H39" s="114">
        <f>H33+H36+H38</f>
        <v>37.24</v>
      </c>
      <c r="I39" s="12"/>
      <c r="J39" s="69"/>
      <c r="K39" s="115" t="s">
        <v>46</v>
      </c>
      <c r="L39" s="114">
        <f>L33+L36+L38</f>
        <v>32.68</v>
      </c>
      <c r="N39" s="69"/>
      <c r="O39" s="115" t="s">
        <v>46</v>
      </c>
      <c r="P39" s="114">
        <f>P33+P36+P38</f>
        <v>47.16</v>
      </c>
      <c r="Q39" s="12"/>
      <c r="R39" s="69"/>
      <c r="S39" s="115" t="s">
        <v>46</v>
      </c>
      <c r="T39" s="114">
        <f>T33+T36+T38</f>
        <v>39.08</v>
      </c>
    </row>
    <row r="40" spans="2:20" x14ac:dyDescent="0.55000000000000004">
      <c r="B40" s="69"/>
      <c r="C40" s="5"/>
      <c r="D40" s="68"/>
      <c r="F40" s="69"/>
      <c r="G40" s="5"/>
      <c r="H40" s="68"/>
      <c r="J40" s="69"/>
      <c r="K40" s="5"/>
      <c r="L40" s="68"/>
      <c r="N40" s="69"/>
      <c r="O40" s="5"/>
      <c r="P40" s="68"/>
      <c r="R40" s="69"/>
      <c r="S40" s="5"/>
      <c r="T40" s="68"/>
    </row>
    <row r="41" spans="2:20" ht="14.7" thickBot="1" x14ac:dyDescent="0.6">
      <c r="B41" s="94"/>
      <c r="C41" s="117"/>
      <c r="D41" s="118"/>
      <c r="F41" s="94"/>
      <c r="G41" s="121" t="s">
        <v>41</v>
      </c>
      <c r="H41" s="122">
        <v>20</v>
      </c>
      <c r="I41" s="13"/>
      <c r="J41" s="94"/>
      <c r="K41" s="121" t="s">
        <v>41</v>
      </c>
      <c r="L41" s="122">
        <v>20</v>
      </c>
      <c r="N41" s="94"/>
      <c r="O41" s="121" t="s">
        <v>41</v>
      </c>
      <c r="P41" s="122">
        <v>15</v>
      </c>
      <c r="Q41" s="13"/>
      <c r="R41" s="94"/>
      <c r="S41" s="121" t="s">
        <v>41</v>
      </c>
      <c r="T41" s="122">
        <v>15</v>
      </c>
    </row>
    <row r="42" spans="2:20" x14ac:dyDescent="0.55000000000000004">
      <c r="K42" s="11"/>
      <c r="S42" s="11"/>
    </row>
    <row r="43" spans="2:20" x14ac:dyDescent="0.55000000000000004">
      <c r="C43" s="17"/>
    </row>
    <row r="45" spans="2:20" x14ac:dyDescent="0.55000000000000004">
      <c r="C45" s="17"/>
    </row>
    <row r="48" spans="2:20" x14ac:dyDescent="0.55000000000000004">
      <c r="K48" s="11"/>
      <c r="S48" s="11"/>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vt:lpstr>
      <vt:lpstr>Compare Options</vt:lpstr>
      <vt:lpstr>Input + Harvest Costs</vt:lpstr>
    </vt:vector>
  </TitlesOfParts>
  <Company>K-State Research and Extension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Monte Vandeveer</dc:creator>
  <cp:lastModifiedBy>RobinReid</cp:lastModifiedBy>
  <dcterms:created xsi:type="dcterms:W3CDTF">2019-05-17T16:24:19Z</dcterms:created>
  <dcterms:modified xsi:type="dcterms:W3CDTF">2021-06-03T15:33:26Z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