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gEcon1-Grain Marketing &amp; Risk Mgmt\Grain Mkt Analysis &amp; Outlook\Grain Mkt Outlook 2007+\Grain Market Outlook Resources - Materials\"/>
    </mc:Choice>
  </mc:AlternateContent>
  <bookViews>
    <workbookView xWindow="0" yWindow="84" windowWidth="22980" windowHeight="9300"/>
  </bookViews>
  <sheets>
    <sheet name="KS Wheat Tour_Kansas" sheetId="1" r:id="rId1"/>
    <sheet name="HRW Wheat States 2007-2017" sheetId="3" r:id="rId2"/>
    <sheet name="Texas Calculations" sheetId="4" r:id="rId3"/>
  </sheets>
  <calcPr calcId="162913"/>
</workbook>
</file>

<file path=xl/calcChain.xml><?xml version="1.0" encoding="utf-8"?>
<calcChain xmlns="http://schemas.openxmlformats.org/spreadsheetml/2006/main">
  <c r="S15" i="3" l="1"/>
  <c r="AE24" i="1"/>
  <c r="B27" i="1"/>
  <c r="E24" i="1"/>
  <c r="F24" i="1" s="1"/>
  <c r="F27" i="1" s="1"/>
  <c r="E27" i="1"/>
  <c r="G27" i="1"/>
  <c r="AT97" i="1" l="1"/>
  <c r="AU96" i="1"/>
  <c r="AT96" i="1"/>
  <c r="AV96" i="1" s="1"/>
  <c r="AV76" i="1"/>
  <c r="AU76" i="1"/>
  <c r="AT76" i="1"/>
  <c r="AE97" i="1"/>
  <c r="AE96" i="1"/>
  <c r="AX23" i="1"/>
  <c r="AV23" i="1"/>
  <c r="AT23" i="1"/>
  <c r="AT24" i="1"/>
  <c r="AX55" i="1" s="1"/>
  <c r="AU40" i="1"/>
  <c r="AU39" i="1"/>
  <c r="AU38" i="1"/>
  <c r="AU37" i="1"/>
  <c r="AU36" i="1"/>
  <c r="AU35" i="1"/>
  <c r="AU32" i="1"/>
  <c r="AU31" i="1"/>
  <c r="AU30" i="1"/>
  <c r="AU29" i="1"/>
  <c r="AU28" i="1"/>
  <c r="AU27" i="1"/>
  <c r="AF40" i="1"/>
  <c r="AF39" i="1"/>
  <c r="AF38" i="1"/>
  <c r="AF37" i="1"/>
  <c r="AF36" i="1"/>
  <c r="AF35" i="1"/>
  <c r="AF32" i="1"/>
  <c r="AF31" i="1"/>
  <c r="AF30" i="1"/>
  <c r="AF29" i="1"/>
  <c r="AF28" i="1"/>
  <c r="AF27" i="1"/>
  <c r="AE77" i="1"/>
  <c r="AG23" i="1"/>
  <c r="AF76" i="1" s="1"/>
  <c r="AE23" i="1"/>
  <c r="AI23" i="1" s="1"/>
  <c r="AG76" i="1" s="1"/>
  <c r="F26" i="4"/>
  <c r="E25" i="4"/>
  <c r="E19" i="4"/>
  <c r="E6" i="4"/>
  <c r="E5" i="4"/>
  <c r="E4" i="4"/>
  <c r="E3" i="4"/>
  <c r="E2" i="4"/>
  <c r="F6" i="4" s="1"/>
  <c r="E70" i="3"/>
  <c r="AA15" i="3"/>
  <c r="Z15" i="3"/>
  <c r="Y15" i="3"/>
  <c r="X15" i="3"/>
  <c r="W15" i="3"/>
  <c r="V15" i="3"/>
  <c r="R28" i="3"/>
  <c r="Q28" i="3"/>
  <c r="P28" i="3"/>
  <c r="O28" i="3"/>
  <c r="N28" i="3"/>
  <c r="E101" i="3"/>
  <c r="D100" i="3"/>
  <c r="D99" i="3"/>
  <c r="D98" i="3"/>
  <c r="D97" i="3"/>
  <c r="D96" i="3"/>
  <c r="E94" i="3"/>
  <c r="D93" i="3"/>
  <c r="D92" i="3"/>
  <c r="D91" i="3"/>
  <c r="D90" i="3"/>
  <c r="D89" i="3"/>
  <c r="E86" i="3"/>
  <c r="D85" i="3"/>
  <c r="D84" i="3"/>
  <c r="D83" i="3"/>
  <c r="D82" i="3"/>
  <c r="D81" i="3"/>
  <c r="E79" i="3"/>
  <c r="D78" i="3"/>
  <c r="D77" i="3"/>
  <c r="D76" i="3"/>
  <c r="D75" i="3"/>
  <c r="D74" i="3"/>
  <c r="S28" i="3" l="1"/>
  <c r="AT77" i="1"/>
  <c r="AT55" i="1"/>
  <c r="AJ23" i="1"/>
  <c r="AF96" i="1"/>
  <c r="AG96" i="1" s="1"/>
  <c r="AK23" i="1"/>
  <c r="AZ23" i="1"/>
  <c r="AW23" i="1"/>
  <c r="AY23" i="1"/>
  <c r="AH23" i="1"/>
  <c r="D26" i="4"/>
  <c r="E26" i="4" s="1"/>
  <c r="G13" i="4"/>
  <c r="L97" i="1"/>
  <c r="M96" i="1"/>
  <c r="M76" i="1"/>
  <c r="Q40" i="1"/>
  <c r="P40" i="1"/>
  <c r="M40" i="1"/>
  <c r="L40" i="1"/>
  <c r="Q39" i="1"/>
  <c r="P39" i="1"/>
  <c r="M39" i="1"/>
  <c r="L39" i="1"/>
  <c r="Q38" i="1"/>
  <c r="P38" i="1"/>
  <c r="M38" i="1"/>
  <c r="L38" i="1"/>
  <c r="Q37" i="1"/>
  <c r="P37" i="1"/>
  <c r="M37" i="1"/>
  <c r="L37" i="1"/>
  <c r="Q36" i="1"/>
  <c r="P36" i="1"/>
  <c r="M36" i="1"/>
  <c r="L36" i="1"/>
  <c r="Q35" i="1"/>
  <c r="P35" i="1"/>
  <c r="M35" i="1"/>
  <c r="L35" i="1"/>
  <c r="H40" i="1"/>
  <c r="G40" i="1"/>
  <c r="C40" i="1"/>
  <c r="H39" i="1"/>
  <c r="G39" i="1"/>
  <c r="C39" i="1"/>
  <c r="H38" i="1"/>
  <c r="G38" i="1"/>
  <c r="C38" i="1"/>
  <c r="H37" i="1"/>
  <c r="G37" i="1"/>
  <c r="C37" i="1"/>
  <c r="H36" i="1"/>
  <c r="G36" i="1"/>
  <c r="C36" i="1"/>
  <c r="H35" i="1"/>
  <c r="G35" i="1"/>
  <c r="C35" i="1"/>
  <c r="B40" i="1"/>
  <c r="B39" i="1"/>
  <c r="B38" i="1"/>
  <c r="B37" i="1"/>
  <c r="B36" i="1"/>
  <c r="B35" i="1"/>
  <c r="Q32" i="1"/>
  <c r="P32" i="1"/>
  <c r="M32" i="1"/>
  <c r="Q31" i="1"/>
  <c r="P31" i="1"/>
  <c r="M31" i="1"/>
  <c r="Q30" i="1"/>
  <c r="P30" i="1"/>
  <c r="M30" i="1"/>
  <c r="Q29" i="1"/>
  <c r="P29" i="1"/>
  <c r="M29" i="1"/>
  <c r="Q28" i="1"/>
  <c r="P28" i="1"/>
  <c r="M28" i="1"/>
  <c r="Q27" i="1"/>
  <c r="P27" i="1"/>
  <c r="M27" i="1"/>
  <c r="L32" i="1"/>
  <c r="L31" i="1"/>
  <c r="L30" i="1"/>
  <c r="L29" i="1"/>
  <c r="L28" i="1"/>
  <c r="L27" i="1"/>
  <c r="H32" i="1"/>
  <c r="G32" i="1"/>
  <c r="C32" i="1"/>
  <c r="H31" i="1"/>
  <c r="G31" i="1"/>
  <c r="C31" i="1"/>
  <c r="H30" i="1"/>
  <c r="G30" i="1"/>
  <c r="C30" i="1"/>
  <c r="H29" i="1"/>
  <c r="G29" i="1"/>
  <c r="C29" i="1"/>
  <c r="H28" i="1"/>
  <c r="G28" i="1"/>
  <c r="C28" i="1"/>
  <c r="H27" i="1"/>
  <c r="C27" i="1"/>
  <c r="B32" i="1"/>
  <c r="B31" i="1"/>
  <c r="B30" i="1"/>
  <c r="B29" i="1"/>
  <c r="B28" i="1"/>
  <c r="O24" i="1"/>
  <c r="L77" i="1" s="1"/>
  <c r="V24" i="1"/>
  <c r="W23" i="1"/>
  <c r="X23" i="1"/>
  <c r="N23" i="1"/>
  <c r="I23" i="1"/>
  <c r="D23" i="1"/>
  <c r="Z14" i="3" l="1"/>
  <c r="Y14" i="3"/>
  <c r="X14" i="3"/>
  <c r="W14" i="3"/>
  <c r="Z13" i="3"/>
  <c r="Y13" i="3"/>
  <c r="X13" i="3"/>
  <c r="W13" i="3"/>
  <c r="AA12" i="3"/>
  <c r="Z12" i="3"/>
  <c r="Y12" i="3"/>
  <c r="X12" i="3"/>
  <c r="W12" i="3"/>
  <c r="AA11" i="3"/>
  <c r="Z11" i="3"/>
  <c r="Y11" i="3"/>
  <c r="X11" i="3"/>
  <c r="W11" i="3"/>
  <c r="AA10" i="3"/>
  <c r="Z10" i="3"/>
  <c r="Y10" i="3"/>
  <c r="X10" i="3"/>
  <c r="W10" i="3"/>
  <c r="AA9" i="3"/>
  <c r="Z9" i="3"/>
  <c r="Y9" i="3"/>
  <c r="X9" i="3"/>
  <c r="W9" i="3"/>
  <c r="AA8" i="3"/>
  <c r="Z8" i="3"/>
  <c r="Y8" i="3"/>
  <c r="X8" i="3"/>
  <c r="W8" i="3"/>
  <c r="AA7" i="3"/>
  <c r="Z7" i="3"/>
  <c r="Y7" i="3"/>
  <c r="X7" i="3"/>
  <c r="W7" i="3"/>
  <c r="AA6" i="3"/>
  <c r="Z6" i="3"/>
  <c r="Y6" i="3"/>
  <c r="X6" i="3"/>
  <c r="W6" i="3"/>
  <c r="AA5" i="3"/>
  <c r="Z5" i="3"/>
  <c r="Y5" i="3"/>
  <c r="X5" i="3"/>
  <c r="W5" i="3"/>
  <c r="V14" i="3"/>
  <c r="V13" i="3"/>
  <c r="V12" i="3"/>
  <c r="V11" i="3"/>
  <c r="V10" i="3"/>
  <c r="V9" i="3"/>
  <c r="V8" i="3"/>
  <c r="V7" i="3"/>
  <c r="V6" i="3"/>
  <c r="V5" i="3"/>
  <c r="E63" i="3"/>
  <c r="E23" i="1"/>
  <c r="F23" i="1" s="1"/>
  <c r="R27" i="3" l="1"/>
  <c r="Q27" i="3"/>
  <c r="P27" i="3"/>
  <c r="O27" i="3"/>
  <c r="N27" i="3"/>
  <c r="R26" i="3"/>
  <c r="Q26" i="3"/>
  <c r="P26" i="3"/>
  <c r="O26" i="3"/>
  <c r="N26" i="3"/>
  <c r="S14" i="3"/>
  <c r="AA14" i="3" s="1"/>
  <c r="S13" i="3"/>
  <c r="AA13" i="3" s="1"/>
  <c r="E57" i="3"/>
  <c r="AT95" i="1"/>
  <c r="AE95" i="1"/>
  <c r="AE76" i="1"/>
  <c r="L96" i="1"/>
  <c r="O96" i="1" s="1"/>
  <c r="M75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W7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AT22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E22" i="1"/>
  <c r="AV30" i="1" l="1"/>
  <c r="AV31" i="1"/>
  <c r="AV28" i="1"/>
  <c r="AV32" i="1"/>
  <c r="AV27" i="1"/>
  <c r="AV29" i="1"/>
  <c r="AV38" i="1"/>
  <c r="AV37" i="1"/>
  <c r="AV40" i="1"/>
  <c r="AV35" i="1"/>
  <c r="AV36" i="1"/>
  <c r="AV39" i="1"/>
  <c r="AG36" i="1"/>
  <c r="AG39" i="1"/>
  <c r="AG37" i="1"/>
  <c r="AG35" i="1"/>
  <c r="AG40" i="1"/>
  <c r="AG38" i="1"/>
  <c r="AG31" i="1"/>
  <c r="AG29" i="1"/>
  <c r="AG27" i="1"/>
  <c r="AG30" i="1"/>
  <c r="AG32" i="1"/>
  <c r="AG28" i="1"/>
  <c r="S26" i="3"/>
  <c r="G101" i="3"/>
  <c r="G86" i="3"/>
  <c r="W39" i="1"/>
  <c r="W35" i="1"/>
  <c r="W37" i="1"/>
  <c r="W40" i="1"/>
  <c r="W38" i="1"/>
  <c r="W36" i="1"/>
  <c r="X37" i="1"/>
  <c r="X40" i="1"/>
  <c r="X35" i="1"/>
  <c r="X38" i="1"/>
  <c r="X36" i="1"/>
  <c r="X39" i="1"/>
  <c r="W31" i="1"/>
  <c r="W32" i="1"/>
  <c r="W27" i="1"/>
  <c r="W28" i="1"/>
  <c r="W29" i="1"/>
  <c r="W30" i="1"/>
  <c r="AK22" i="1"/>
  <c r="AI22" i="1"/>
  <c r="AJ22" i="1"/>
  <c r="AH22" i="1"/>
  <c r="AF75" i="1"/>
  <c r="AF95" i="1"/>
  <c r="AG95" i="1" s="1"/>
  <c r="AZ22" i="1"/>
  <c r="AY22" i="1"/>
  <c r="AX22" i="1"/>
  <c r="AW22" i="1"/>
  <c r="AT75" i="1"/>
  <c r="AU95" i="1"/>
  <c r="AV95" i="1" s="1"/>
  <c r="AU75" i="1"/>
  <c r="S27" i="3"/>
  <c r="F86" i="3"/>
  <c r="F101" i="3"/>
  <c r="M95" i="1"/>
  <c r="L95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O23" i="1"/>
  <c r="AV75" i="1" l="1"/>
  <c r="AG75" i="1"/>
  <c r="S23" i="1"/>
  <c r="O76" i="1" s="1"/>
  <c r="T23" i="1"/>
  <c r="U23" i="1"/>
  <c r="R23" i="1"/>
  <c r="D29" i="1"/>
  <c r="D30" i="1"/>
  <c r="D31" i="1"/>
  <c r="D32" i="1"/>
  <c r="D27" i="1"/>
  <c r="D28" i="1"/>
  <c r="I27" i="1"/>
  <c r="I28" i="1"/>
  <c r="I29" i="1"/>
  <c r="I31" i="1"/>
  <c r="I32" i="1"/>
  <c r="I30" i="1"/>
  <c r="N36" i="1"/>
  <c r="N39" i="1"/>
  <c r="N37" i="1"/>
  <c r="N40" i="1"/>
  <c r="N38" i="1"/>
  <c r="N35" i="1"/>
  <c r="D35" i="1"/>
  <c r="D36" i="1"/>
  <c r="D39" i="1"/>
  <c r="D37" i="1"/>
  <c r="D38" i="1"/>
  <c r="D40" i="1"/>
  <c r="I40" i="1"/>
  <c r="I37" i="1"/>
  <c r="I35" i="1"/>
  <c r="I36" i="1"/>
  <c r="I38" i="1"/>
  <c r="I39" i="1"/>
  <c r="N28" i="1"/>
  <c r="N29" i="1"/>
  <c r="N32" i="1"/>
  <c r="N31" i="1"/>
  <c r="N27" i="1"/>
  <c r="N30" i="1"/>
  <c r="V23" i="1"/>
  <c r="L76" i="1"/>
  <c r="O95" i="1"/>
  <c r="S12" i="3"/>
  <c r="S11" i="3"/>
  <c r="S10" i="3"/>
  <c r="S9" i="3"/>
  <c r="S8" i="3"/>
  <c r="S7" i="3"/>
  <c r="S6" i="3"/>
  <c r="S5" i="3"/>
  <c r="S24" i="3"/>
  <c r="P25" i="3"/>
  <c r="S25" i="3" s="1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R25" i="3"/>
  <c r="Q25" i="3"/>
  <c r="N25" i="3"/>
  <c r="R24" i="3"/>
  <c r="Q24" i="3"/>
  <c r="N24" i="3"/>
  <c r="R23" i="3"/>
  <c r="Q23" i="3"/>
  <c r="N23" i="3"/>
  <c r="S23" i="3" s="1"/>
  <c r="R22" i="3"/>
  <c r="Q22" i="3"/>
  <c r="N22" i="3"/>
  <c r="S22" i="3" s="1"/>
  <c r="R21" i="3"/>
  <c r="Q21" i="3"/>
  <c r="N21" i="3"/>
  <c r="S21" i="3" s="1"/>
  <c r="R20" i="3"/>
  <c r="S20" i="3" s="1"/>
  <c r="Q20" i="3"/>
  <c r="N20" i="3"/>
  <c r="R19" i="3"/>
  <c r="Q19" i="3"/>
  <c r="N19" i="3"/>
  <c r="S19" i="3" s="1"/>
  <c r="R18" i="3"/>
  <c r="Q18" i="3"/>
  <c r="N18" i="3"/>
  <c r="S18" i="3" s="1"/>
  <c r="AU94" i="1"/>
  <c r="AT94" i="1"/>
  <c r="AU93" i="1"/>
  <c r="AT93" i="1"/>
  <c r="AU92" i="1"/>
  <c r="AT92" i="1"/>
  <c r="AV92" i="1" s="1"/>
  <c r="AU91" i="1"/>
  <c r="AT91" i="1"/>
  <c r="AU90" i="1"/>
  <c r="AT90" i="1"/>
  <c r="AU89" i="1"/>
  <c r="AT89" i="1"/>
  <c r="AU88" i="1"/>
  <c r="AT88" i="1"/>
  <c r="AV88" i="1" s="1"/>
  <c r="AU87" i="1"/>
  <c r="AT87" i="1"/>
  <c r="AU86" i="1"/>
  <c r="AT86" i="1"/>
  <c r="AU85" i="1"/>
  <c r="AT85" i="1"/>
  <c r="AU84" i="1"/>
  <c r="AT84" i="1"/>
  <c r="AV84" i="1" s="1"/>
  <c r="AU83" i="1"/>
  <c r="AT83" i="1"/>
  <c r="AU82" i="1"/>
  <c r="AT82" i="1"/>
  <c r="AU81" i="1"/>
  <c r="AT81" i="1"/>
  <c r="AU80" i="1"/>
  <c r="AT80" i="1"/>
  <c r="AV80" i="1" s="1"/>
  <c r="AF94" i="1"/>
  <c r="AE94" i="1"/>
  <c r="AF93" i="1"/>
  <c r="AE93" i="1"/>
  <c r="AF92" i="1"/>
  <c r="AE92" i="1"/>
  <c r="AF91" i="1"/>
  <c r="AE91" i="1"/>
  <c r="AF90" i="1"/>
  <c r="AE90" i="1"/>
  <c r="AF89" i="1"/>
  <c r="AE89" i="1"/>
  <c r="AF88" i="1"/>
  <c r="AE88" i="1"/>
  <c r="AF87" i="1"/>
  <c r="AE87" i="1"/>
  <c r="AF86" i="1"/>
  <c r="AE86" i="1"/>
  <c r="AF85" i="1"/>
  <c r="AE85" i="1"/>
  <c r="AF84" i="1"/>
  <c r="AE84" i="1"/>
  <c r="AF83" i="1"/>
  <c r="AE83" i="1"/>
  <c r="AG83" i="1" s="1"/>
  <c r="AF82" i="1"/>
  <c r="AE82" i="1"/>
  <c r="AF81" i="1"/>
  <c r="AE81" i="1"/>
  <c r="AF80" i="1"/>
  <c r="AE80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O80" i="1" s="1"/>
  <c r="AG82" i="1" l="1"/>
  <c r="AG86" i="1"/>
  <c r="AG90" i="1"/>
  <c r="AG94" i="1"/>
  <c r="AG84" i="1"/>
  <c r="AG92" i="1"/>
  <c r="AV82" i="1"/>
  <c r="AV86" i="1"/>
  <c r="AV90" i="1"/>
  <c r="AV94" i="1"/>
  <c r="O83" i="1"/>
  <c r="O91" i="1"/>
  <c r="O92" i="1"/>
  <c r="AV81" i="1"/>
  <c r="AV85" i="1"/>
  <c r="AV89" i="1"/>
  <c r="AV93" i="1"/>
  <c r="AG80" i="1"/>
  <c r="AG88" i="1"/>
  <c r="O85" i="1"/>
  <c r="O89" i="1"/>
  <c r="AG91" i="1"/>
  <c r="AG81" i="1"/>
  <c r="AG85" i="1"/>
  <c r="AG89" i="1"/>
  <c r="AG93" i="1"/>
  <c r="O84" i="1"/>
  <c r="O82" i="1"/>
  <c r="AV83" i="1"/>
  <c r="AV87" i="1"/>
  <c r="AV91" i="1"/>
  <c r="AG87" i="1"/>
  <c r="O87" i="1"/>
  <c r="O94" i="1"/>
  <c r="O88" i="1"/>
  <c r="O86" i="1"/>
  <c r="O90" i="1"/>
  <c r="O93" i="1"/>
  <c r="O81" i="1"/>
  <c r="E22" i="1"/>
  <c r="E51" i="3"/>
  <c r="O22" i="1" l="1"/>
  <c r="U22" i="1" s="1"/>
  <c r="F22" i="1"/>
  <c r="R22" i="1"/>
  <c r="E100" i="3"/>
  <c r="E93" i="3"/>
  <c r="AV48" i="1"/>
  <c r="AU48" i="1"/>
  <c r="AV47" i="1"/>
  <c r="AU47" i="1"/>
  <c r="AV46" i="1"/>
  <c r="AU46" i="1"/>
  <c r="AV45" i="1"/>
  <c r="AU45" i="1"/>
  <c r="AV44" i="1"/>
  <c r="AU44" i="1"/>
  <c r="AV43" i="1"/>
  <c r="AU43" i="1"/>
  <c r="AG48" i="1"/>
  <c r="AF48" i="1"/>
  <c r="AG47" i="1"/>
  <c r="AF47" i="1"/>
  <c r="AG46" i="1"/>
  <c r="AF46" i="1"/>
  <c r="AG45" i="1"/>
  <c r="AF45" i="1"/>
  <c r="AG44" i="1"/>
  <c r="AF44" i="1"/>
  <c r="AG43" i="1"/>
  <c r="AF43" i="1"/>
  <c r="Q48" i="1"/>
  <c r="P48" i="1"/>
  <c r="M48" i="1"/>
  <c r="Q47" i="1"/>
  <c r="P47" i="1"/>
  <c r="M47" i="1"/>
  <c r="Q46" i="1"/>
  <c r="P46" i="1"/>
  <c r="M46" i="1"/>
  <c r="Q45" i="1"/>
  <c r="P45" i="1"/>
  <c r="M45" i="1"/>
  <c r="Q44" i="1"/>
  <c r="P44" i="1"/>
  <c r="M44" i="1"/>
  <c r="Q43" i="1"/>
  <c r="P43" i="1"/>
  <c r="M43" i="1"/>
  <c r="L48" i="1"/>
  <c r="L47" i="1"/>
  <c r="L46" i="1"/>
  <c r="L45" i="1"/>
  <c r="L44" i="1"/>
  <c r="L43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E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L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E21" i="1"/>
  <c r="AT40" i="1" l="1"/>
  <c r="AT39" i="1"/>
  <c r="AT38" i="1"/>
  <c r="AT37" i="1"/>
  <c r="AT36" i="1"/>
  <c r="AT35" i="1"/>
  <c r="AE40" i="1"/>
  <c r="AE39" i="1"/>
  <c r="AE36" i="1"/>
  <c r="AE38" i="1"/>
  <c r="AE35" i="1"/>
  <c r="AE37" i="1"/>
  <c r="AT28" i="1"/>
  <c r="AT27" i="1"/>
  <c r="AT32" i="1"/>
  <c r="AT31" i="1"/>
  <c r="AT30" i="1"/>
  <c r="AT29" i="1"/>
  <c r="AE29" i="1"/>
  <c r="AE30" i="1"/>
  <c r="AE28" i="1"/>
  <c r="AE27" i="1"/>
  <c r="AE32" i="1"/>
  <c r="AE31" i="1"/>
  <c r="S22" i="1"/>
  <c r="O75" i="1" s="1"/>
  <c r="T22" i="1"/>
  <c r="O21" i="1"/>
  <c r="T21" i="1" s="1"/>
  <c r="F21" i="1"/>
  <c r="V22" i="1"/>
  <c r="AE67" i="1"/>
  <c r="AK14" i="1"/>
  <c r="AI14" i="1"/>
  <c r="AG67" i="1" s="1"/>
  <c r="AJ14" i="1"/>
  <c r="AH14" i="1"/>
  <c r="AE64" i="1"/>
  <c r="AH11" i="1"/>
  <c r="AI11" i="1"/>
  <c r="AJ11" i="1"/>
  <c r="AK11" i="1"/>
  <c r="AJ19" i="1"/>
  <c r="AK19" i="1"/>
  <c r="AI19" i="1"/>
  <c r="AH19" i="1"/>
  <c r="AT65" i="1"/>
  <c r="AZ12" i="1"/>
  <c r="AY12" i="1"/>
  <c r="AW12" i="1"/>
  <c r="AX12" i="1"/>
  <c r="AV65" i="1" s="1"/>
  <c r="AZ20" i="1"/>
  <c r="AY20" i="1"/>
  <c r="AX20" i="1"/>
  <c r="AW20" i="1"/>
  <c r="AE65" i="1"/>
  <c r="AK12" i="1"/>
  <c r="AI12" i="1"/>
  <c r="AG65" i="1" s="1"/>
  <c r="AJ12" i="1"/>
  <c r="AH12" i="1"/>
  <c r="AE73" i="1"/>
  <c r="AK20" i="1"/>
  <c r="AI20" i="1"/>
  <c r="AJ20" i="1"/>
  <c r="AH20" i="1"/>
  <c r="AT66" i="1"/>
  <c r="AX13" i="1"/>
  <c r="AV66" i="1" s="1"/>
  <c r="AW13" i="1"/>
  <c r="AZ13" i="1"/>
  <c r="AY13" i="1"/>
  <c r="AT74" i="1"/>
  <c r="AX21" i="1"/>
  <c r="AV74" i="1" s="1"/>
  <c r="AW21" i="1"/>
  <c r="AZ21" i="1"/>
  <c r="AY21" i="1"/>
  <c r="AY48" i="1" s="1"/>
  <c r="AK21" i="1"/>
  <c r="AI21" i="1"/>
  <c r="AG74" i="1" s="1"/>
  <c r="AJ21" i="1"/>
  <c r="AH21" i="1"/>
  <c r="AX7" i="1"/>
  <c r="AW7" i="1"/>
  <c r="AY7" i="1"/>
  <c r="AZ7" i="1"/>
  <c r="AK7" i="1"/>
  <c r="AI7" i="1"/>
  <c r="AJ7" i="1"/>
  <c r="AH7" i="1"/>
  <c r="AT69" i="1"/>
  <c r="AZ16" i="1"/>
  <c r="AY16" i="1"/>
  <c r="AX16" i="1"/>
  <c r="AW16" i="1"/>
  <c r="AE61" i="1"/>
  <c r="AJ8" i="1"/>
  <c r="AH8" i="1"/>
  <c r="AK8" i="1"/>
  <c r="AI8" i="1"/>
  <c r="AG61" i="1" s="1"/>
  <c r="AE69" i="1"/>
  <c r="AJ16" i="1"/>
  <c r="AH16" i="1"/>
  <c r="AK16" i="1"/>
  <c r="AI16" i="1"/>
  <c r="AT62" i="1"/>
  <c r="AX9" i="1"/>
  <c r="AV62" i="1" s="1"/>
  <c r="AW9" i="1"/>
  <c r="AZ9" i="1"/>
  <c r="AY9" i="1"/>
  <c r="AT70" i="1"/>
  <c r="AX17" i="1"/>
  <c r="AW17" i="1"/>
  <c r="AZ17" i="1"/>
  <c r="AY17" i="1"/>
  <c r="AE66" i="1"/>
  <c r="AK13" i="1"/>
  <c r="AI13" i="1"/>
  <c r="AG66" i="1" s="1"/>
  <c r="AJ13" i="1"/>
  <c r="AH13" i="1"/>
  <c r="AT67" i="1"/>
  <c r="AZ14" i="1"/>
  <c r="AY14" i="1"/>
  <c r="AX14" i="1"/>
  <c r="AV67" i="1" s="1"/>
  <c r="AW14" i="1"/>
  <c r="V21" i="1"/>
  <c r="AT68" i="1"/>
  <c r="AX15" i="1"/>
  <c r="AV68" i="1" s="1"/>
  <c r="AW15" i="1"/>
  <c r="AY15" i="1"/>
  <c r="AZ15" i="1"/>
  <c r="AE68" i="1"/>
  <c r="AK15" i="1"/>
  <c r="AI15" i="1"/>
  <c r="AJ15" i="1"/>
  <c r="AH15" i="1"/>
  <c r="AT61" i="1"/>
  <c r="AZ8" i="1"/>
  <c r="AY8" i="1"/>
  <c r="AW8" i="1"/>
  <c r="AX8" i="1"/>
  <c r="AE62" i="1"/>
  <c r="AK9" i="1"/>
  <c r="AI9" i="1"/>
  <c r="AG62" i="1" s="1"/>
  <c r="AJ9" i="1"/>
  <c r="AH9" i="1"/>
  <c r="AE70" i="1"/>
  <c r="AK17" i="1"/>
  <c r="AI17" i="1"/>
  <c r="AG70" i="1" s="1"/>
  <c r="AJ17" i="1"/>
  <c r="AH17" i="1"/>
  <c r="AT63" i="1"/>
  <c r="AZ10" i="1"/>
  <c r="AY10" i="1"/>
  <c r="AX10" i="1"/>
  <c r="AV63" i="1" s="1"/>
  <c r="AW10" i="1"/>
  <c r="AT71" i="1"/>
  <c r="AZ18" i="1"/>
  <c r="AY18" i="1"/>
  <c r="AX18" i="1"/>
  <c r="AW18" i="1"/>
  <c r="AE63" i="1"/>
  <c r="AK10" i="1"/>
  <c r="AI10" i="1"/>
  <c r="AG63" i="1" s="1"/>
  <c r="AJ10" i="1"/>
  <c r="AH10" i="1"/>
  <c r="AK18" i="1"/>
  <c r="AI18" i="1"/>
  <c r="AJ18" i="1"/>
  <c r="AH18" i="1"/>
  <c r="AT64" i="1"/>
  <c r="AX11" i="1"/>
  <c r="AV64" i="1" s="1"/>
  <c r="AW11" i="1"/>
  <c r="AY11" i="1"/>
  <c r="AZ11" i="1"/>
  <c r="AT72" i="1"/>
  <c r="AX19" i="1"/>
  <c r="AW19" i="1"/>
  <c r="AY19" i="1"/>
  <c r="AZ19" i="1"/>
  <c r="AT60" i="1"/>
  <c r="AE60" i="1"/>
  <c r="AE46" i="1"/>
  <c r="AT43" i="1"/>
  <c r="AT73" i="1"/>
  <c r="AZ46" i="1"/>
  <c r="AE74" i="1"/>
  <c r="AT44" i="1"/>
  <c r="AT48" i="1"/>
  <c r="L74" i="1"/>
  <c r="AE45" i="1"/>
  <c r="AT47" i="1"/>
  <c r="AE44" i="1"/>
  <c r="AT46" i="1"/>
  <c r="AE72" i="1"/>
  <c r="AE43" i="1"/>
  <c r="AT45" i="1"/>
  <c r="AE48" i="1"/>
  <c r="AE47" i="1"/>
  <c r="AE71" i="1"/>
  <c r="E45" i="3"/>
  <c r="E39" i="3"/>
  <c r="E33" i="3"/>
  <c r="E27" i="3"/>
  <c r="E21" i="3"/>
  <c r="E15" i="3"/>
  <c r="E9" i="3"/>
  <c r="AV73" i="1"/>
  <c r="AV70" i="1"/>
  <c r="AV69" i="1"/>
  <c r="AV61" i="1"/>
  <c r="AG73" i="1"/>
  <c r="AG69" i="1"/>
  <c r="AG68" i="1"/>
  <c r="AG64" i="1"/>
  <c r="X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AZ30" i="1" l="1"/>
  <c r="AZ28" i="1"/>
  <c r="AZ27" i="1"/>
  <c r="AZ29" i="1"/>
  <c r="AZ32" i="1"/>
  <c r="AZ31" i="1"/>
  <c r="AY47" i="1"/>
  <c r="AY30" i="1"/>
  <c r="AY28" i="1"/>
  <c r="AY32" i="1"/>
  <c r="AY29" i="1"/>
  <c r="AY31" i="1"/>
  <c r="AY27" i="1"/>
  <c r="AH39" i="1"/>
  <c r="AH36" i="1"/>
  <c r="AH37" i="1"/>
  <c r="AH40" i="1"/>
  <c r="AH38" i="1"/>
  <c r="AH35" i="1"/>
  <c r="AW32" i="1"/>
  <c r="AW29" i="1"/>
  <c r="AW28" i="1"/>
  <c r="AW30" i="1"/>
  <c r="AW27" i="1"/>
  <c r="AW31" i="1"/>
  <c r="AI36" i="1"/>
  <c r="AI35" i="1"/>
  <c r="AI39" i="1"/>
  <c r="AI40" i="1"/>
  <c r="AI37" i="1"/>
  <c r="AI38" i="1"/>
  <c r="R21" i="1"/>
  <c r="AZ35" i="1"/>
  <c r="AZ36" i="1"/>
  <c r="AZ38" i="1"/>
  <c r="AZ37" i="1"/>
  <c r="AZ40" i="1"/>
  <c r="AZ39" i="1"/>
  <c r="U21" i="1"/>
  <c r="AI32" i="1"/>
  <c r="AI29" i="1"/>
  <c r="AI28" i="1"/>
  <c r="AI30" i="1"/>
  <c r="AI27" i="1"/>
  <c r="AI31" i="1"/>
  <c r="AW37" i="1"/>
  <c r="AW39" i="1"/>
  <c r="AW38" i="1"/>
  <c r="AW36" i="1"/>
  <c r="AW35" i="1"/>
  <c r="AW40" i="1"/>
  <c r="AX32" i="1"/>
  <c r="AX30" i="1"/>
  <c r="AX29" i="1"/>
  <c r="AX28" i="1"/>
  <c r="AX31" i="1"/>
  <c r="AX27" i="1"/>
  <c r="AV71" i="1"/>
  <c r="AX37" i="1"/>
  <c r="AX35" i="1"/>
  <c r="AX36" i="1"/>
  <c r="AX40" i="1"/>
  <c r="AX38" i="1"/>
  <c r="AX39" i="1"/>
  <c r="AH27" i="1"/>
  <c r="AH28" i="1"/>
  <c r="AH32" i="1"/>
  <c r="AH31" i="1"/>
  <c r="AH29" i="1"/>
  <c r="AH30" i="1"/>
  <c r="AY36" i="1"/>
  <c r="AY40" i="1"/>
  <c r="AY39" i="1"/>
  <c r="AY38" i="1"/>
  <c r="AY35" i="1"/>
  <c r="AY37" i="1"/>
  <c r="X31" i="1"/>
  <c r="X32" i="1"/>
  <c r="X28" i="1"/>
  <c r="X29" i="1"/>
  <c r="X27" i="1"/>
  <c r="X30" i="1"/>
  <c r="S21" i="1"/>
  <c r="O74" i="1" s="1"/>
  <c r="AJ39" i="1"/>
  <c r="AJ37" i="1"/>
  <c r="AJ35" i="1"/>
  <c r="AI55" i="1" s="1"/>
  <c r="AJ40" i="1"/>
  <c r="AJ38" i="1"/>
  <c r="AJ36" i="1"/>
  <c r="AK31" i="1"/>
  <c r="AK29" i="1"/>
  <c r="AK27" i="1"/>
  <c r="AK32" i="1"/>
  <c r="AK30" i="1"/>
  <c r="AK28" i="1"/>
  <c r="AK39" i="1"/>
  <c r="AK37" i="1"/>
  <c r="AK35" i="1"/>
  <c r="AK40" i="1"/>
  <c r="AK38" i="1"/>
  <c r="AK36" i="1"/>
  <c r="AJ31" i="1"/>
  <c r="AJ29" i="1"/>
  <c r="AJ27" i="1"/>
  <c r="AE55" i="1" s="1"/>
  <c r="AJ32" i="1"/>
  <c r="AJ30" i="1"/>
  <c r="AJ28" i="1"/>
  <c r="O8" i="1"/>
  <c r="F8" i="1"/>
  <c r="O13" i="1"/>
  <c r="U13" i="1" s="1"/>
  <c r="F13" i="1"/>
  <c r="AZ43" i="1"/>
  <c r="O15" i="1"/>
  <c r="L68" i="1" s="1"/>
  <c r="F15" i="1"/>
  <c r="E30" i="1"/>
  <c r="E31" i="1"/>
  <c r="F7" i="1"/>
  <c r="E32" i="1"/>
  <c r="E28" i="1"/>
  <c r="E29" i="1"/>
  <c r="O14" i="1"/>
  <c r="U14" i="1" s="1"/>
  <c r="F14" i="1"/>
  <c r="O20" i="1"/>
  <c r="R20" i="1" s="1"/>
  <c r="F20" i="1"/>
  <c r="O12" i="1"/>
  <c r="R12" i="1" s="1"/>
  <c r="F12" i="1"/>
  <c r="AZ45" i="1"/>
  <c r="O19" i="1"/>
  <c r="F19" i="1"/>
  <c r="O11" i="1"/>
  <c r="U11" i="1" s="1"/>
  <c r="F11" i="1"/>
  <c r="AZ47" i="1"/>
  <c r="E36" i="1"/>
  <c r="E37" i="1"/>
  <c r="E38" i="1"/>
  <c r="E39" i="1"/>
  <c r="F18" i="1"/>
  <c r="E40" i="1"/>
  <c r="E35" i="1"/>
  <c r="AY45" i="1"/>
  <c r="O16" i="1"/>
  <c r="V16" i="1" s="1"/>
  <c r="F16" i="1"/>
  <c r="O10" i="1"/>
  <c r="U10" i="1" s="1"/>
  <c r="F10" i="1"/>
  <c r="O17" i="1"/>
  <c r="U17" i="1" s="1"/>
  <c r="F17" i="1"/>
  <c r="O9" i="1"/>
  <c r="V9" i="1" s="1"/>
  <c r="F9" i="1"/>
  <c r="AZ48" i="1"/>
  <c r="AZ44" i="1"/>
  <c r="T17" i="1"/>
  <c r="V17" i="1"/>
  <c r="V8" i="1"/>
  <c r="U8" i="1"/>
  <c r="T8" i="1"/>
  <c r="AY43" i="1"/>
  <c r="T9" i="1"/>
  <c r="V14" i="1"/>
  <c r="U19" i="1"/>
  <c r="T19" i="1"/>
  <c r="V19" i="1"/>
  <c r="T11" i="1"/>
  <c r="AG71" i="1"/>
  <c r="AY46" i="1"/>
  <c r="V13" i="1"/>
  <c r="T13" i="1"/>
  <c r="T20" i="1"/>
  <c r="V20" i="1"/>
  <c r="AY44" i="1"/>
  <c r="L67" i="1"/>
  <c r="S14" i="1"/>
  <c r="O67" i="1" s="1"/>
  <c r="R14" i="1"/>
  <c r="R19" i="1"/>
  <c r="S19" i="1"/>
  <c r="R11" i="1"/>
  <c r="O18" i="1"/>
  <c r="O7" i="1"/>
  <c r="L60" i="1" s="1"/>
  <c r="S12" i="1"/>
  <c r="O65" i="1" s="1"/>
  <c r="S9" i="1"/>
  <c r="O62" i="1" s="1"/>
  <c r="S13" i="1"/>
  <c r="O66" i="1" s="1"/>
  <c r="S20" i="1"/>
  <c r="O73" i="1" s="1"/>
  <c r="S17" i="1"/>
  <c r="O70" i="1" s="1"/>
  <c r="R8" i="1"/>
  <c r="S8" i="1"/>
  <c r="O61" i="1" s="1"/>
  <c r="AG60" i="1"/>
  <c r="AV60" i="1"/>
  <c r="AK44" i="1"/>
  <c r="AK47" i="1"/>
  <c r="AK45" i="1"/>
  <c r="AK46" i="1"/>
  <c r="AK43" i="1"/>
  <c r="AK48" i="1"/>
  <c r="L73" i="1"/>
  <c r="L64" i="1"/>
  <c r="L70" i="1"/>
  <c r="X45" i="1"/>
  <c r="X43" i="1"/>
  <c r="X44" i="1"/>
  <c r="X47" i="1"/>
  <c r="X48" i="1"/>
  <c r="X46" i="1"/>
  <c r="AI44" i="1"/>
  <c r="AI43" i="1"/>
  <c r="AI45" i="1"/>
  <c r="AG72" i="1"/>
  <c r="AI46" i="1"/>
  <c r="AI47" i="1"/>
  <c r="AI48" i="1"/>
  <c r="AW43" i="1"/>
  <c r="AW47" i="1"/>
  <c r="AW44" i="1"/>
  <c r="AW45" i="1"/>
  <c r="AW46" i="1"/>
  <c r="AW48" i="1"/>
  <c r="L61" i="1"/>
  <c r="L65" i="1"/>
  <c r="O47" i="1"/>
  <c r="O46" i="1"/>
  <c r="L72" i="1"/>
  <c r="O43" i="1"/>
  <c r="AH44" i="1"/>
  <c r="AH43" i="1"/>
  <c r="AH45" i="1"/>
  <c r="AH46" i="1"/>
  <c r="AH47" i="1"/>
  <c r="AH48" i="1"/>
  <c r="AX44" i="1"/>
  <c r="AX47" i="1"/>
  <c r="AX45" i="1"/>
  <c r="AX46" i="1"/>
  <c r="AX48" i="1"/>
  <c r="AV72" i="1"/>
  <c r="AX43" i="1"/>
  <c r="AJ43" i="1"/>
  <c r="AJ46" i="1"/>
  <c r="AJ44" i="1"/>
  <c r="AJ45" i="1"/>
  <c r="AJ47" i="1"/>
  <c r="AJ48" i="1"/>
  <c r="L66" i="1"/>
  <c r="W43" i="1"/>
  <c r="W48" i="1"/>
  <c r="W47" i="1"/>
  <c r="W46" i="1"/>
  <c r="W45" i="1"/>
  <c r="W44" i="1"/>
  <c r="E85" i="3"/>
  <c r="E78" i="3"/>
  <c r="U12" i="1" l="1"/>
  <c r="S16" i="1"/>
  <c r="O69" i="1" s="1"/>
  <c r="V11" i="1"/>
  <c r="T12" i="1"/>
  <c r="T16" i="1"/>
  <c r="U16" i="1"/>
  <c r="S11" i="1"/>
  <c r="O64" i="1" s="1"/>
  <c r="L69" i="1"/>
  <c r="V12" i="1"/>
  <c r="R13" i="1"/>
  <c r="O28" i="1"/>
  <c r="O31" i="1"/>
  <c r="O29" i="1"/>
  <c r="O30" i="1"/>
  <c r="O32" i="1"/>
  <c r="O27" i="1"/>
  <c r="O48" i="1"/>
  <c r="R16" i="1"/>
  <c r="R15" i="1"/>
  <c r="S10" i="1"/>
  <c r="O63" i="1" s="1"/>
  <c r="U20" i="1"/>
  <c r="T14" i="1"/>
  <c r="S15" i="1"/>
  <c r="O68" i="1" s="1"/>
  <c r="T15" i="1"/>
  <c r="F31" i="1"/>
  <c r="F32" i="1"/>
  <c r="F28" i="1"/>
  <c r="F29" i="1"/>
  <c r="F30" i="1"/>
  <c r="O45" i="1"/>
  <c r="L62" i="1"/>
  <c r="R17" i="1"/>
  <c r="R9" i="1"/>
  <c r="T10" i="1"/>
  <c r="V15" i="1"/>
  <c r="R10" i="1"/>
  <c r="O39" i="1"/>
  <c r="O37" i="1"/>
  <c r="O40" i="1"/>
  <c r="O36" i="1"/>
  <c r="O35" i="1"/>
  <c r="O38" i="1"/>
  <c r="L63" i="1"/>
  <c r="V10" i="1"/>
  <c r="U9" i="1"/>
  <c r="U15" i="1"/>
  <c r="F37" i="1"/>
  <c r="F38" i="1"/>
  <c r="F39" i="1"/>
  <c r="F40" i="1"/>
  <c r="F35" i="1"/>
  <c r="F36" i="1"/>
  <c r="O44" i="1"/>
  <c r="U7" i="1"/>
  <c r="V7" i="1"/>
  <c r="T7" i="1"/>
  <c r="U18" i="1"/>
  <c r="V18" i="1"/>
  <c r="T18" i="1"/>
  <c r="AI54" i="1"/>
  <c r="AJ54" i="1" s="1"/>
  <c r="AI57" i="1"/>
  <c r="AJ57" i="1" s="1"/>
  <c r="AI56" i="1"/>
  <c r="AJ56" i="1" s="1"/>
  <c r="AI53" i="1"/>
  <c r="AJ53" i="1" s="1"/>
  <c r="AJ55" i="1"/>
  <c r="AY55" i="1"/>
  <c r="AX56" i="1"/>
  <c r="AY56" i="1" s="1"/>
  <c r="AX54" i="1"/>
  <c r="AY54" i="1" s="1"/>
  <c r="AX57" i="1"/>
  <c r="AY57" i="1" s="1"/>
  <c r="AX53" i="1"/>
  <c r="AY53" i="1" s="1"/>
  <c r="AE56" i="1"/>
  <c r="AF56" i="1" s="1"/>
  <c r="AE57" i="1"/>
  <c r="AF57" i="1" s="1"/>
  <c r="AE53" i="1"/>
  <c r="AF53" i="1" s="1"/>
  <c r="AE54" i="1"/>
  <c r="AF54" i="1" s="1"/>
  <c r="AF55" i="1"/>
  <c r="AT54" i="1"/>
  <c r="AU54" i="1" s="1"/>
  <c r="AU55" i="1"/>
  <c r="AT57" i="1"/>
  <c r="AU57" i="1" s="1"/>
  <c r="AT56" i="1"/>
  <c r="AU56" i="1" s="1"/>
  <c r="AT53" i="1"/>
  <c r="AU53" i="1" s="1"/>
  <c r="L71" i="1"/>
  <c r="S18" i="1"/>
  <c r="R18" i="1"/>
  <c r="R7" i="1"/>
  <c r="S7" i="1"/>
  <c r="O60" i="1" s="1"/>
  <c r="S43" i="1"/>
  <c r="S44" i="1"/>
  <c r="O72" i="1"/>
  <c r="S46" i="1"/>
  <c r="S47" i="1"/>
  <c r="S48" i="1"/>
  <c r="S45" i="1"/>
  <c r="R48" i="1"/>
  <c r="R44" i="1"/>
  <c r="R43" i="1"/>
  <c r="R45" i="1"/>
  <c r="R46" i="1"/>
  <c r="R47" i="1"/>
  <c r="V44" i="1"/>
  <c r="V43" i="1"/>
  <c r="V45" i="1"/>
  <c r="V48" i="1"/>
  <c r="V47" i="1"/>
  <c r="V46" i="1"/>
  <c r="V30" i="1" l="1"/>
  <c r="V31" i="1"/>
  <c r="V32" i="1"/>
  <c r="V28" i="1"/>
  <c r="V29" i="1"/>
  <c r="V27" i="1"/>
  <c r="U29" i="1"/>
  <c r="U30" i="1"/>
  <c r="U31" i="1"/>
  <c r="U32" i="1"/>
  <c r="U27" i="1"/>
  <c r="U28" i="1"/>
  <c r="S35" i="1"/>
  <c r="S38" i="1"/>
  <c r="S36" i="1"/>
  <c r="S39" i="1"/>
  <c r="S37" i="1"/>
  <c r="S40" i="1"/>
  <c r="U36" i="1"/>
  <c r="U39" i="1"/>
  <c r="U37" i="1"/>
  <c r="U35" i="1"/>
  <c r="U38" i="1"/>
  <c r="U40" i="1"/>
  <c r="S27" i="1"/>
  <c r="S28" i="1"/>
  <c r="S29" i="1"/>
  <c r="S30" i="1"/>
  <c r="S31" i="1"/>
  <c r="S32" i="1"/>
  <c r="T28" i="1"/>
  <c r="T29" i="1"/>
  <c r="T32" i="1"/>
  <c r="T30" i="1"/>
  <c r="T31" i="1"/>
  <c r="T27" i="1"/>
  <c r="L55" i="1" s="1"/>
  <c r="R27" i="1"/>
  <c r="R28" i="1"/>
  <c r="R29" i="1"/>
  <c r="R32" i="1"/>
  <c r="R30" i="1"/>
  <c r="R31" i="1"/>
  <c r="T38" i="1"/>
  <c r="T36" i="1"/>
  <c r="T39" i="1"/>
  <c r="T37" i="1"/>
  <c r="T40" i="1"/>
  <c r="T35" i="1"/>
  <c r="R40" i="1"/>
  <c r="R35" i="1"/>
  <c r="Q55" i="1" s="1"/>
  <c r="R39" i="1"/>
  <c r="R38" i="1"/>
  <c r="R36" i="1"/>
  <c r="R37" i="1"/>
  <c r="V36" i="1"/>
  <c r="V39" i="1"/>
  <c r="V35" i="1"/>
  <c r="V37" i="1"/>
  <c r="V40" i="1"/>
  <c r="V38" i="1"/>
  <c r="O71" i="1"/>
  <c r="R55" i="1" l="1"/>
  <c r="Q56" i="1"/>
  <c r="R56" i="1" s="1"/>
  <c r="Q54" i="1"/>
  <c r="Q53" i="1"/>
  <c r="R53" i="1" s="1"/>
  <c r="Q57" i="1"/>
  <c r="R57" i="1" s="1"/>
  <c r="M55" i="1"/>
  <c r="L53" i="1"/>
  <c r="M53" i="1" s="1"/>
  <c r="L54" i="1"/>
  <c r="M54" i="1" s="1"/>
  <c r="L56" i="1"/>
  <c r="M56" i="1" s="1"/>
  <c r="L57" i="1"/>
  <c r="M57" i="1" s="1"/>
  <c r="R54" i="1"/>
</calcChain>
</file>

<file path=xl/sharedStrings.xml><?xml version="1.0" encoding="utf-8"?>
<sst xmlns="http://schemas.openxmlformats.org/spreadsheetml/2006/main" count="567" uniqueCount="128">
  <si>
    <t>Year</t>
  </si>
  <si>
    <t>State</t>
  </si>
  <si>
    <t>Data Item</t>
  </si>
  <si>
    <t>Value</t>
  </si>
  <si>
    <t>KANSAS</t>
  </si>
  <si>
    <t>acres</t>
  </si>
  <si>
    <t>percent</t>
  </si>
  <si>
    <t>Average</t>
  </si>
  <si>
    <t>Median</t>
  </si>
  <si>
    <t>Std Dev</t>
  </si>
  <si>
    <t>(bu/ac)</t>
  </si>
  <si>
    <t>Min</t>
  </si>
  <si>
    <t xml:space="preserve">Max </t>
  </si>
  <si>
    <t>Skew</t>
  </si>
  <si>
    <t>5 State Total</t>
  </si>
  <si>
    <t>COLORADO</t>
  </si>
  <si>
    <t>Wheat Production (bu)</t>
  </si>
  <si>
    <t>NEBRASKA</t>
  </si>
  <si>
    <t>OKLAHOMA</t>
  </si>
  <si>
    <t>TEXAS</t>
  </si>
  <si>
    <t>2012-2014</t>
  </si>
  <si>
    <t>Part 2. Kansas Wheat Yield Forecast Accuracy - Kansas Wheat Tour and USDA</t>
  </si>
  <si>
    <t>Part 1. Kansas Wheat Planted and Harvested Acreage Forecast Accuracy - Kansas Wheat Tour and USDA</t>
  </si>
  <si>
    <t>Part 3. Kansas Wheat Production Forecast Accuracy - Kansas Wheat Tour and USDA</t>
  </si>
  <si>
    <t>Upper 97.5%</t>
  </si>
  <si>
    <t>Upper 83.5%</t>
  </si>
  <si>
    <t>Lower 16.5%</t>
  </si>
  <si>
    <t>Lower 2.5%</t>
  </si>
  <si>
    <t>KWT % Forecast Error</t>
  </si>
  <si>
    <t>KWT KS Wheat Yield</t>
  </si>
  <si>
    <t>KWT KS Wheat Harvested Acres</t>
  </si>
  <si>
    <t>KWT KS Wheat Production</t>
  </si>
  <si>
    <t>5 yr Avg</t>
  </si>
  <si>
    <t>5 yr Min</t>
  </si>
  <si>
    <t>KS Wheat Tour</t>
  </si>
  <si>
    <t>USDA KS Wheat Final Harvested Acres</t>
  </si>
  <si>
    <t>USDA May-Final % Forecast Error</t>
  </si>
  <si>
    <t>May USDA KS Wheat Yield</t>
  </si>
  <si>
    <t>USDA KS Wheat Final Yield</t>
  </si>
  <si>
    <t>May USDA KS Wheat Production</t>
  </si>
  <si>
    <t>USDA KS Wheat Final Production</t>
  </si>
  <si>
    <t>Production</t>
  </si>
  <si>
    <t>Colorado</t>
  </si>
  <si>
    <t>Kansas</t>
  </si>
  <si>
    <t>Nebraska</t>
  </si>
  <si>
    <t>Oklahoma</t>
  </si>
  <si>
    <t>Texas</t>
  </si>
  <si>
    <t>Total</t>
  </si>
  <si>
    <t>USDA Final Kansas Wheat Yield</t>
  </si>
  <si>
    <t>USDA Final Kansas Wheat Production</t>
  </si>
  <si>
    <t>million bushels</t>
  </si>
  <si>
    <t>Bu/acre</t>
  </si>
  <si>
    <t>million acres</t>
  </si>
  <si>
    <t>Kansas Wheat Tour Forecast Yield (bu/ac)</t>
  </si>
  <si>
    <t>Kansas Wheat Tour Less USDA Final Wheat Yield</t>
  </si>
  <si>
    <t>Kansas Wheat Tour Forecast Production</t>
  </si>
  <si>
    <t>Kansas Wheat Tour Less USDA Final Wheat Production</t>
  </si>
  <si>
    <t>USDA March 31st - Final Acres Differences</t>
  </si>
  <si>
    <r>
      <rPr>
        <b/>
        <sz val="10"/>
        <color theme="1"/>
        <rFont val="Calibri"/>
        <family val="2"/>
        <scheme val="minor"/>
      </rPr>
      <t>Kansas Wheat Planted Acres</t>
    </r>
    <r>
      <rPr>
        <sz val="10"/>
        <color theme="1"/>
        <rFont val="Calibri"/>
        <family val="2"/>
        <scheme val="minor"/>
      </rPr>
      <t xml:space="preserve"> - USDA NASS Final Planted Acres</t>
    </r>
  </si>
  <si>
    <r>
      <rPr>
        <b/>
        <sz val="10"/>
        <color theme="1"/>
        <rFont val="Calibri"/>
        <family val="2"/>
        <scheme val="minor"/>
      </rPr>
      <t>Kansas Wheat Planted Acres</t>
    </r>
    <r>
      <rPr>
        <sz val="10"/>
        <color theme="1"/>
        <rFont val="Calibri"/>
        <family val="2"/>
        <scheme val="minor"/>
      </rPr>
      <t xml:space="preserve"> - End of March </t>
    </r>
    <r>
      <rPr>
        <sz val="10"/>
        <rFont val="Calibri"/>
        <family val="2"/>
        <scheme val="minor"/>
      </rPr>
      <t>USDA Prospective Plantings Report</t>
    </r>
  </si>
  <si>
    <r>
      <rPr>
        <b/>
        <sz val="10"/>
        <color theme="1"/>
        <rFont val="Calibri"/>
        <family val="2"/>
        <scheme val="minor"/>
      </rPr>
      <t>Kansas Wheat Harvested Acres</t>
    </r>
    <r>
      <rPr>
        <sz val="10"/>
        <color theme="1"/>
        <rFont val="Calibri"/>
        <family val="2"/>
        <scheme val="minor"/>
      </rPr>
      <t xml:space="preserve"> - USDA NASS May Forecast</t>
    </r>
  </si>
  <si>
    <r>
      <rPr>
        <b/>
        <sz val="10"/>
        <color theme="1"/>
        <rFont val="Calibri"/>
        <family val="2"/>
        <scheme val="minor"/>
      </rPr>
      <t>Kansas Wheat Harvested Acres</t>
    </r>
    <r>
      <rPr>
        <sz val="10"/>
        <color theme="1"/>
        <rFont val="Calibri"/>
        <family val="2"/>
        <scheme val="minor"/>
      </rPr>
      <t xml:space="preserve"> - USDA NASS Final Estimates</t>
    </r>
  </si>
  <si>
    <r>
      <rPr>
        <b/>
        <sz val="10"/>
        <rFont val="Calibri"/>
        <family val="2"/>
        <scheme val="minor"/>
      </rPr>
      <t>Kansas Wheat Harvested Acres</t>
    </r>
    <r>
      <rPr>
        <sz val="10"/>
        <rFont val="Calibri"/>
        <family val="2"/>
        <scheme val="minor"/>
      </rPr>
      <t xml:space="preserve">: </t>
    </r>
    <r>
      <rPr>
        <i/>
        <u/>
        <sz val="10"/>
        <rFont val="Calibri"/>
        <family val="2"/>
        <scheme val="minor"/>
      </rPr>
      <t>Kansas Wheat Tour</t>
    </r>
    <r>
      <rPr>
        <sz val="10"/>
        <rFont val="Calibri"/>
        <family val="2"/>
        <scheme val="minor"/>
      </rPr>
      <t xml:space="preserve"> Implicit Harvested Acres Estimate</t>
    </r>
  </si>
  <si>
    <r>
      <rPr>
        <b/>
        <sz val="10"/>
        <rFont val="Calibri"/>
        <family val="2"/>
        <scheme val="minor"/>
      </rPr>
      <t xml:space="preserve">Kansas Wheat Harvested Acres </t>
    </r>
    <r>
      <rPr>
        <sz val="10"/>
        <rFont val="Calibri"/>
        <family val="2"/>
        <scheme val="minor"/>
      </rPr>
      <t>- KS Wheat Tour % Forecast Difference vs May USDA</t>
    </r>
  </si>
  <si>
    <t>Kansas Wheat Tour - May USDA</t>
  </si>
  <si>
    <t>%(Kansas Wheat Tour/May USDA)</t>
  </si>
  <si>
    <r>
      <rPr>
        <b/>
        <sz val="10"/>
        <rFont val="Calibri"/>
        <family val="2"/>
        <scheme val="minor"/>
      </rPr>
      <t>Kansas Wheat Harvested Acres</t>
    </r>
    <r>
      <rPr>
        <sz val="10"/>
        <rFont val="Calibri"/>
        <family val="2"/>
        <scheme val="minor"/>
      </rPr>
      <t xml:space="preserve"> - </t>
    </r>
    <r>
      <rPr>
        <i/>
        <u/>
        <sz val="10"/>
        <rFont val="Calibri"/>
        <family val="2"/>
        <scheme val="minor"/>
      </rPr>
      <t>Kansas Wheat Tour</t>
    </r>
    <r>
      <rPr>
        <sz val="10"/>
        <rFont val="Calibri"/>
        <family val="2"/>
        <scheme val="minor"/>
      </rPr>
      <t xml:space="preserve"> Forecast Difference vs May USDA</t>
    </r>
  </si>
  <si>
    <r>
      <rPr>
        <b/>
        <sz val="10"/>
        <rFont val="Calibri"/>
        <family val="2"/>
        <scheme val="minor"/>
      </rPr>
      <t>Kansas Wheat Harvested Acres</t>
    </r>
    <r>
      <rPr>
        <sz val="10"/>
        <rFont val="Calibri"/>
        <family val="2"/>
        <scheme val="minor"/>
      </rPr>
      <t xml:space="preserve"> - </t>
    </r>
    <r>
      <rPr>
        <i/>
        <u/>
        <sz val="10"/>
        <rFont val="Calibri"/>
        <family val="2"/>
        <scheme val="minor"/>
      </rPr>
      <t>Kansas Wheat Tour</t>
    </r>
    <r>
      <rPr>
        <sz val="10"/>
        <rFont val="Calibri"/>
        <family val="2"/>
        <scheme val="minor"/>
      </rPr>
      <t xml:space="preserve"> Forecast Difference vs Final USDA</t>
    </r>
  </si>
  <si>
    <r>
      <rPr>
        <b/>
        <sz val="10"/>
        <rFont val="Calibri"/>
        <family val="2"/>
        <scheme val="minor"/>
      </rPr>
      <t xml:space="preserve">Kansas Wheat Harvested Acres </t>
    </r>
    <r>
      <rPr>
        <sz val="10"/>
        <rFont val="Calibri"/>
        <family val="2"/>
        <scheme val="minor"/>
      </rPr>
      <t>- KS Wheat Tour % Forecast Difference vs Final USDA</t>
    </r>
  </si>
  <si>
    <t>Kansas Wheat Tour - Final USDA</t>
  </si>
  <si>
    <t>%(Kansas Wheat Tour/Final USDA)</t>
  </si>
  <si>
    <r>
      <rPr>
        <b/>
        <sz val="10"/>
        <color theme="1"/>
        <rFont val="Calibri"/>
        <family val="2"/>
        <scheme val="minor"/>
      </rPr>
      <t>% Harvested-to-Planted Acres</t>
    </r>
    <r>
      <rPr>
        <sz val="10"/>
        <color theme="1"/>
        <rFont val="Calibri"/>
        <family val="2"/>
        <scheme val="minor"/>
      </rPr>
      <t xml:space="preserve"> - KWT Harvested / USDA Prospective Plantings </t>
    </r>
  </si>
  <si>
    <r>
      <rPr>
        <b/>
        <sz val="10"/>
        <color theme="1"/>
        <rFont val="Calibri"/>
        <family val="2"/>
        <scheme val="minor"/>
      </rPr>
      <t>% Harvested-to-Planted Acres</t>
    </r>
    <r>
      <rPr>
        <sz val="10"/>
        <color theme="1"/>
        <rFont val="Calibri"/>
        <family val="2"/>
        <scheme val="minor"/>
      </rPr>
      <t xml:space="preserve"> - USDA May Harvested / USDA Prospective Plantings</t>
    </r>
  </si>
  <si>
    <r>
      <rPr>
        <b/>
        <sz val="10"/>
        <color theme="1"/>
        <rFont val="Calibri"/>
        <family val="2"/>
        <scheme val="minor"/>
      </rPr>
      <t>% Harvested-to-Planted Acres</t>
    </r>
    <r>
      <rPr>
        <sz val="10"/>
        <color theme="1"/>
        <rFont val="Calibri"/>
        <family val="2"/>
        <scheme val="minor"/>
      </rPr>
      <t xml:space="preserve"> - USDA Final Harvested / USDA Final Planted</t>
    </r>
  </si>
  <si>
    <r>
      <rPr>
        <b/>
        <sz val="14"/>
        <color theme="1"/>
        <rFont val="Calibri"/>
        <family val="2"/>
        <scheme val="minor"/>
      </rPr>
      <t>Kansas Wheat Tour Forecast Confidence Intervals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6"/>
        <color theme="1"/>
        <rFont val="Calibri"/>
        <family val="2"/>
        <scheme val="minor"/>
      </rPr>
      <t>(2000-2015 data)</t>
    </r>
  </si>
  <si>
    <t>May USDA KS Wheat Harvested Acres</t>
  </si>
  <si>
    <t>Final USDA KS Wheat Harvested Acres</t>
  </si>
  <si>
    <r>
      <rPr>
        <b/>
        <sz val="10"/>
        <color theme="1"/>
        <rFont val="Calibri"/>
        <family val="2"/>
        <scheme val="minor"/>
      </rPr>
      <t>Kansas Wheat Yield</t>
    </r>
    <r>
      <rPr>
        <sz val="10"/>
        <color theme="1"/>
        <rFont val="Calibri"/>
        <family val="2"/>
        <scheme val="minor"/>
      </rPr>
      <t xml:space="preserve"> - USDA NASS May Forecast</t>
    </r>
  </si>
  <si>
    <r>
      <rPr>
        <b/>
        <sz val="10"/>
        <color theme="1"/>
        <rFont val="Calibri"/>
        <family val="2"/>
        <scheme val="minor"/>
      </rPr>
      <t>Kansas Wheat Yields</t>
    </r>
    <r>
      <rPr>
        <sz val="10"/>
        <color theme="1"/>
        <rFont val="Calibri"/>
        <family val="2"/>
        <scheme val="minor"/>
      </rPr>
      <t xml:space="preserve"> - USDA NASS Final Estimates</t>
    </r>
  </si>
  <si>
    <r>
      <rPr>
        <b/>
        <sz val="10"/>
        <rFont val="Calibri"/>
        <family val="2"/>
        <scheme val="minor"/>
      </rPr>
      <t>Kansas Wheat Yield</t>
    </r>
    <r>
      <rPr>
        <sz val="10"/>
        <rFont val="Calibri"/>
        <family val="2"/>
        <scheme val="minor"/>
      </rPr>
      <t xml:space="preserve"> - </t>
    </r>
    <r>
      <rPr>
        <i/>
        <u/>
        <sz val="10"/>
        <rFont val="Calibri"/>
        <family val="2"/>
        <scheme val="minor"/>
      </rPr>
      <t>Kansas Wheat Tour</t>
    </r>
    <r>
      <rPr>
        <sz val="10"/>
        <rFont val="Calibri"/>
        <family val="2"/>
        <scheme val="minor"/>
      </rPr>
      <t xml:space="preserve"> Forecast Difference vs May USDA</t>
    </r>
  </si>
  <si>
    <r>
      <rPr>
        <b/>
        <sz val="10"/>
        <rFont val="Calibri"/>
        <family val="2"/>
        <scheme val="minor"/>
      </rPr>
      <t xml:space="preserve">Kansas Wheat Yield </t>
    </r>
    <r>
      <rPr>
        <sz val="10"/>
        <rFont val="Calibri"/>
        <family val="2"/>
        <scheme val="minor"/>
      </rPr>
      <t>- KS Wheat Tour % Forecast Difference vs May USDA</t>
    </r>
  </si>
  <si>
    <r>
      <rPr>
        <b/>
        <sz val="10"/>
        <rFont val="Calibri"/>
        <family val="2"/>
        <scheme val="minor"/>
      </rPr>
      <t>Kansas Wheat Yield</t>
    </r>
    <r>
      <rPr>
        <sz val="10"/>
        <rFont val="Calibri"/>
        <family val="2"/>
        <scheme val="minor"/>
      </rPr>
      <t xml:space="preserve"> - </t>
    </r>
    <r>
      <rPr>
        <i/>
        <u/>
        <sz val="10"/>
        <rFont val="Calibri"/>
        <family val="2"/>
        <scheme val="minor"/>
      </rPr>
      <t>Kansas Wheat Tour</t>
    </r>
    <r>
      <rPr>
        <sz val="10"/>
        <rFont val="Calibri"/>
        <family val="2"/>
        <scheme val="minor"/>
      </rPr>
      <t xml:space="preserve"> Forecast Difference vs Final USDA</t>
    </r>
  </si>
  <si>
    <r>
      <rPr>
        <b/>
        <sz val="10"/>
        <rFont val="Calibri"/>
        <family val="2"/>
        <scheme val="minor"/>
      </rPr>
      <t xml:space="preserve">Kansas Wheat Yield </t>
    </r>
    <r>
      <rPr>
        <sz val="10"/>
        <rFont val="Calibri"/>
        <family val="2"/>
        <scheme val="minor"/>
      </rPr>
      <t>- KS Wheat Tour % Forecast Difference vs Final USDA</t>
    </r>
  </si>
  <si>
    <r>
      <rPr>
        <b/>
        <sz val="14"/>
        <color theme="1"/>
        <rFont val="Calibri"/>
        <family val="2"/>
        <scheme val="minor"/>
      </rPr>
      <t xml:space="preserve">Kansas Wheat Tour Forecast Confidence Intervals </t>
    </r>
    <r>
      <rPr>
        <b/>
        <sz val="6"/>
        <color theme="1"/>
        <rFont val="Calibri"/>
        <family val="2"/>
        <scheme val="minor"/>
      </rPr>
      <t>(2000-2015 data)</t>
    </r>
  </si>
  <si>
    <t>Million bushels</t>
  </si>
  <si>
    <r>
      <rPr>
        <b/>
        <sz val="10"/>
        <color theme="1"/>
        <rFont val="Calibri"/>
        <family val="2"/>
        <scheme val="minor"/>
      </rPr>
      <t>Kansas Wheat Production</t>
    </r>
    <r>
      <rPr>
        <sz val="10"/>
        <color theme="1"/>
        <rFont val="Calibri"/>
        <family val="2"/>
        <scheme val="minor"/>
      </rPr>
      <t xml:space="preserve"> - USDA NASS May Forecast</t>
    </r>
  </si>
  <si>
    <r>
      <rPr>
        <b/>
        <sz val="10"/>
        <color theme="1"/>
        <rFont val="Calibri"/>
        <family val="2"/>
        <scheme val="minor"/>
      </rPr>
      <t>Kansas Wheat Production</t>
    </r>
    <r>
      <rPr>
        <sz val="10"/>
        <color theme="1"/>
        <rFont val="Calibri"/>
        <family val="2"/>
        <scheme val="minor"/>
      </rPr>
      <t xml:space="preserve"> - USDA NASS Final Estimates</t>
    </r>
  </si>
  <si>
    <r>
      <rPr>
        <b/>
        <sz val="10"/>
        <rFont val="Calibri"/>
        <family val="2"/>
        <scheme val="minor"/>
      </rPr>
      <t>Kansas Wheat Production</t>
    </r>
    <r>
      <rPr>
        <sz val="10"/>
        <rFont val="Calibri"/>
        <family val="2"/>
        <scheme val="minor"/>
      </rPr>
      <t xml:space="preserve"> - Kansas Wheat Tour Forecast Difference vs May USDA</t>
    </r>
  </si>
  <si>
    <r>
      <rPr>
        <b/>
        <sz val="10"/>
        <rFont val="Calibri"/>
        <family val="2"/>
        <scheme val="minor"/>
      </rPr>
      <t>Kansas Wheat Production</t>
    </r>
    <r>
      <rPr>
        <sz val="10"/>
        <rFont val="Calibri"/>
        <family val="2"/>
        <scheme val="minor"/>
      </rPr>
      <t xml:space="preserve"> - KS Wheat Tour % Forecast Difference vs May USDA</t>
    </r>
  </si>
  <si>
    <r>
      <rPr>
        <b/>
        <sz val="10"/>
        <rFont val="Calibri"/>
        <family val="2"/>
        <scheme val="minor"/>
      </rPr>
      <t>Kansas Wheat Production</t>
    </r>
    <r>
      <rPr>
        <sz val="10"/>
        <rFont val="Calibri"/>
        <family val="2"/>
        <scheme val="minor"/>
      </rPr>
      <t xml:space="preserve"> - KS Wheat Tour % Forecast Difference vs Final USDA</t>
    </r>
  </si>
  <si>
    <r>
      <rPr>
        <b/>
        <sz val="10"/>
        <rFont val="Calibri"/>
        <family val="2"/>
        <scheme val="minor"/>
      </rPr>
      <t>Kansas Wheat Production</t>
    </r>
    <r>
      <rPr>
        <sz val="10"/>
        <rFont val="Calibri"/>
        <family val="2"/>
        <scheme val="minor"/>
      </rPr>
      <t xml:space="preserve"> - Kansas Wheat Tour Forecast Difference vs Final USDA</t>
    </r>
  </si>
  <si>
    <t>USDA KS Final Wheat Production</t>
  </si>
  <si>
    <r>
      <rPr>
        <b/>
        <sz val="10"/>
        <rFont val="Calibri"/>
        <family val="2"/>
        <scheme val="minor"/>
      </rPr>
      <t>Kansas Wheat Yield</t>
    </r>
    <r>
      <rPr>
        <sz val="10"/>
        <rFont val="Calibri"/>
        <family val="2"/>
        <scheme val="minor"/>
      </rPr>
      <t xml:space="preserve">: </t>
    </r>
    <r>
      <rPr>
        <i/>
        <u/>
        <sz val="10"/>
        <rFont val="Calibri"/>
        <family val="2"/>
        <scheme val="minor"/>
      </rPr>
      <t xml:space="preserve">Kansas Wheat Tour </t>
    </r>
    <r>
      <rPr>
        <sz val="10"/>
        <rFont val="Calibri"/>
        <family val="2"/>
        <scheme val="minor"/>
      </rPr>
      <t>Estimate</t>
    </r>
  </si>
  <si>
    <r>
      <rPr>
        <b/>
        <sz val="10"/>
        <rFont val="Calibri"/>
        <family val="2"/>
        <scheme val="minor"/>
      </rPr>
      <t>Kansas Wheat Production</t>
    </r>
    <r>
      <rPr>
        <sz val="10"/>
        <rFont val="Calibri"/>
        <family val="2"/>
        <scheme val="minor"/>
      </rPr>
      <t>: Kansas Wheat Tour Estimate</t>
    </r>
  </si>
  <si>
    <t>Cumulative 5-State Total 5 year Average</t>
  </si>
  <si>
    <t>Cumulative 5-State Total 5 year Minimum</t>
  </si>
  <si>
    <t>DOB: Adjusted Texas 2016 production down 16.7% from 106,500,000 bu in 2015</t>
  </si>
  <si>
    <t>????? =&gt;</t>
  </si>
  <si>
    <t>2016 5 state sum (bu)</t>
  </si>
  <si>
    <t>KS Wheat Tour - OK Trade Group</t>
  </si>
  <si>
    <t>KWT Implied Harvested Acres</t>
  </si>
  <si>
    <t>KWT Implied Percent Harvested/Planted Acres</t>
  </si>
  <si>
    <t>%</t>
  </si>
  <si>
    <t>2000-2016</t>
  </si>
  <si>
    <t>2011-2016</t>
  </si>
  <si>
    <t>2017 Kansas Wheat Harvested Acreage (2000-2016 Accuracy)</t>
  </si>
  <si>
    <t>2017 KWT Forecast</t>
  </si>
  <si>
    <t>2017 Kansas Wheat Harvested Acreage (2011-2016 Accuracy)</t>
  </si>
  <si>
    <t>USDA NASS and Kansas Wheat Tour Forecast Results for Major Hard Red Winter Wheat States (CO, KS, NE, OK, TX) (Years 2007-2017)</t>
  </si>
  <si>
    <t>Years 2007-2016</t>
  </si>
  <si>
    <t>10 yr Avg</t>
  </si>
  <si>
    <t>10 yr Min</t>
  </si>
  <si>
    <t>2017 5 state sum (bu)</t>
  </si>
  <si>
    <t>Cumulative 5-State Total 10 year Average</t>
  </si>
  <si>
    <t>Cumulative 5-State Total 10 year Minimum</t>
  </si>
  <si>
    <t>Years 2012-2016</t>
  </si>
  <si>
    <t>WHEAT - ACRES HARVESTED</t>
  </si>
  <si>
    <t>WHEAT - ACRES PLANTED</t>
  </si>
  <si>
    <t>WHEAT - YIELD, MEASURED IN BU / ACRE</t>
  </si>
  <si>
    <t>See Texas Calculations on associated tab</t>
  </si>
  <si>
    <t>WHEAT - Production (BU)</t>
  </si>
  <si>
    <t>WHEAT - Production (BU) - KSU Estimate</t>
  </si>
  <si>
    <t>DOB: Adjusted Texas 2017 production down 20.5% from 89,600,000 bu in 2016</t>
  </si>
  <si>
    <t>2017 Kansas Wheat Yields (2000-2016 Accuracy)</t>
  </si>
  <si>
    <t>2017 Kansas Wheat Yields (2011-2016 Accuracy)</t>
  </si>
  <si>
    <t>2017 Kansas Wheat Production (2000-2016 Accuracy)</t>
  </si>
  <si>
    <t>2017 Kansas Wheat Production (2011-2016 Accuracy)</t>
  </si>
  <si>
    <t>Kansas Wheat Tour Forecast Results for Kansas (Years 2000-2017)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</si>
</sst>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#,##0.0"/>
    <numFmt numFmtId="167" formatCode="0.0%"/>
    <numFmt numFmtId="168" formatCode="0.0_);[Red]\(0.0\)"/>
    <numFmt numFmtId="169" formatCode="0.00_);[Red]\(0.00\)"/>
    <numFmt numFmtId="170" formatCode="#,##0.0_);[Red]\(#,##0.0\)"/>
    <numFmt numFmtId="171" formatCode="#,##0.000_);[Red]\(#,##0.000\)"/>
    <numFmt numFmtId="172" formatCode="0.000_);[Red]\(0.000\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i/>
      <u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1" xfId="0" applyFont="1" applyBorder="1"/>
    <xf numFmtId="3" fontId="0" fillId="0" borderId="0" xfId="0" applyNumberFormat="1"/>
    <xf numFmtId="0" fontId="2" fillId="0" borderId="0" xfId="0" applyFont="1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3" fillId="0" borderId="0" xfId="0" applyFont="1" applyBorder="1" applyAlignment="1">
      <alignment horizontal="center" wrapText="1"/>
    </xf>
    <xf numFmtId="3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0" fillId="0" borderId="11" xfId="0" applyBorder="1"/>
    <xf numFmtId="0" fontId="0" fillId="0" borderId="13" xfId="0" applyBorder="1"/>
    <xf numFmtId="0" fontId="3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2" xfId="0" applyFill="1" applyBorder="1"/>
    <xf numFmtId="3" fontId="0" fillId="2" borderId="0" xfId="0" applyNumberFormat="1" applyFill="1" applyBorder="1"/>
    <xf numFmtId="0" fontId="0" fillId="2" borderId="0" xfId="0" applyFill="1" applyBorder="1"/>
    <xf numFmtId="38" fontId="0" fillId="2" borderId="2" xfId="0" applyNumberFormat="1" applyFill="1" applyBorder="1"/>
    <xf numFmtId="38" fontId="0" fillId="2" borderId="0" xfId="0" applyNumberFormat="1" applyFill="1" applyBorder="1"/>
    <xf numFmtId="169" fontId="0" fillId="2" borderId="14" xfId="0" applyNumberFormat="1" applyFill="1" applyBorder="1"/>
    <xf numFmtId="169" fontId="0" fillId="2" borderId="15" xfId="0" applyNumberFormat="1" applyFill="1" applyBorder="1"/>
    <xf numFmtId="0" fontId="0" fillId="2" borderId="1" xfId="0" applyFill="1" applyBorder="1"/>
    <xf numFmtId="0" fontId="3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0" fillId="3" borderId="0" xfId="0" applyNumberFormat="1" applyFill="1" applyBorder="1"/>
    <xf numFmtId="3" fontId="4" fillId="3" borderId="0" xfId="0" applyNumberFormat="1" applyFont="1" applyFill="1" applyBorder="1"/>
    <xf numFmtId="0" fontId="0" fillId="3" borderId="2" xfId="0" applyFill="1" applyBorder="1"/>
    <xf numFmtId="0" fontId="0" fillId="3" borderId="0" xfId="0" applyFill="1" applyBorder="1"/>
    <xf numFmtId="38" fontId="0" fillId="3" borderId="2" xfId="0" applyNumberFormat="1" applyFill="1" applyBorder="1"/>
    <xf numFmtId="38" fontId="0" fillId="3" borderId="0" xfId="0" applyNumberFormat="1" applyFill="1" applyBorder="1"/>
    <xf numFmtId="169" fontId="0" fillId="3" borderId="14" xfId="0" applyNumberFormat="1" applyFill="1" applyBorder="1"/>
    <xf numFmtId="169" fontId="0" fillId="3" borderId="15" xfId="0" applyNumberFormat="1" applyFill="1" applyBorder="1"/>
    <xf numFmtId="0" fontId="2" fillId="4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38" fontId="0" fillId="4" borderId="2" xfId="0" applyNumberFormat="1" applyFill="1" applyBorder="1"/>
    <xf numFmtId="167" fontId="0" fillId="4" borderId="0" xfId="0" applyNumberFormat="1" applyFill="1" applyBorder="1"/>
    <xf numFmtId="0" fontId="0" fillId="4" borderId="2" xfId="0" applyFill="1" applyBorder="1"/>
    <xf numFmtId="0" fontId="0" fillId="4" borderId="0" xfId="0" applyFill="1" applyBorder="1"/>
    <xf numFmtId="169" fontId="0" fillId="4" borderId="14" xfId="0" applyNumberFormat="1" applyFill="1" applyBorder="1"/>
    <xf numFmtId="169" fontId="0" fillId="4" borderId="15" xfId="0" applyNumberFormat="1" applyFill="1" applyBorder="1"/>
    <xf numFmtId="0" fontId="3" fillId="5" borderId="7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67" fontId="0" fillId="5" borderId="2" xfId="0" applyNumberFormat="1" applyFill="1" applyBorder="1"/>
    <xf numFmtId="167" fontId="0" fillId="5" borderId="0" xfId="0" applyNumberFormat="1" applyFill="1" applyBorder="1"/>
    <xf numFmtId="0" fontId="0" fillId="5" borderId="2" xfId="0" applyFill="1" applyBorder="1"/>
    <xf numFmtId="0" fontId="0" fillId="5" borderId="0" xfId="0" applyFill="1" applyBorder="1"/>
    <xf numFmtId="169" fontId="0" fillId="5" borderId="14" xfId="0" applyNumberFormat="1" applyFill="1" applyBorder="1"/>
    <xf numFmtId="169" fontId="0" fillId="5" borderId="15" xfId="0" applyNumberFormat="1" applyFill="1" applyBorder="1"/>
    <xf numFmtId="0" fontId="1" fillId="0" borderId="0" xfId="0" applyFont="1"/>
    <xf numFmtId="0" fontId="1" fillId="0" borderId="11" xfId="0" applyFont="1" applyBorder="1"/>
    <xf numFmtId="38" fontId="1" fillId="2" borderId="2" xfId="0" applyNumberFormat="1" applyFont="1" applyFill="1" applyBorder="1"/>
    <xf numFmtId="38" fontId="1" fillId="2" borderId="0" xfId="0" applyNumberFormat="1" applyFont="1" applyFill="1" applyBorder="1"/>
    <xf numFmtId="0" fontId="1" fillId="0" borderId="0" xfId="0" applyFont="1" applyBorder="1"/>
    <xf numFmtId="38" fontId="1" fillId="6" borderId="17" xfId="0" applyNumberFormat="1" applyFont="1" applyFill="1" applyBorder="1"/>
    <xf numFmtId="167" fontId="1" fillId="6" borderId="18" xfId="0" applyNumberFormat="1" applyFont="1" applyFill="1" applyBorder="1"/>
    <xf numFmtId="167" fontId="1" fillId="6" borderId="17" xfId="0" applyNumberFormat="1" applyFont="1" applyFill="1" applyBorder="1"/>
    <xf numFmtId="0" fontId="3" fillId="0" borderId="5" xfId="0" applyFont="1" applyBorder="1" applyAlignment="1">
      <alignment horizontal="center" wrapText="1"/>
    </xf>
    <xf numFmtId="168" fontId="0" fillId="2" borderId="2" xfId="0" applyNumberFormat="1" applyFill="1" applyBorder="1"/>
    <xf numFmtId="168" fontId="0" fillId="2" borderId="0" xfId="0" applyNumberFormat="1" applyFill="1" applyBorder="1"/>
    <xf numFmtId="38" fontId="1" fillId="6" borderId="18" xfId="0" applyNumberFormat="1" applyFont="1" applyFill="1" applyBorder="1"/>
    <xf numFmtId="40" fontId="0" fillId="2" borderId="14" xfId="0" applyNumberFormat="1" applyFill="1" applyBorder="1"/>
    <xf numFmtId="40" fontId="0" fillId="2" borderId="15" xfId="0" applyNumberFormat="1" applyFill="1" applyBorder="1"/>
    <xf numFmtId="168" fontId="0" fillId="3" borderId="2" xfId="0" applyNumberFormat="1" applyFill="1" applyBorder="1"/>
    <xf numFmtId="167" fontId="0" fillId="3" borderId="0" xfId="0" applyNumberFormat="1" applyFill="1" applyBorder="1"/>
    <xf numFmtId="40" fontId="0" fillId="3" borderId="14" xfId="0" applyNumberFormat="1" applyFill="1" applyBorder="1"/>
    <xf numFmtId="40" fontId="0" fillId="3" borderId="15" xfId="0" applyNumberFormat="1" applyFill="1" applyBorder="1"/>
    <xf numFmtId="0" fontId="2" fillId="4" borderId="10" xfId="0" applyFont="1" applyFill="1" applyBorder="1" applyAlignment="1">
      <alignment horizontal="center" wrapText="1"/>
    </xf>
    <xf numFmtId="168" fontId="0" fillId="4" borderId="2" xfId="0" applyNumberFormat="1" applyFill="1" applyBorder="1"/>
    <xf numFmtId="167" fontId="0" fillId="4" borderId="12" xfId="0" applyNumberFormat="1" applyFill="1" applyBorder="1"/>
    <xf numFmtId="166" fontId="0" fillId="4" borderId="2" xfId="0" applyNumberFormat="1" applyFill="1" applyBorder="1"/>
    <xf numFmtId="40" fontId="0" fillId="4" borderId="14" xfId="0" applyNumberFormat="1" applyFill="1" applyBorder="1"/>
    <xf numFmtId="168" fontId="1" fillId="6" borderId="17" xfId="0" applyNumberFormat="1" applyFont="1" applyFill="1" applyBorder="1"/>
    <xf numFmtId="168" fontId="1" fillId="6" borderId="19" xfId="0" applyNumberFormat="1" applyFont="1" applyFill="1" applyBorder="1"/>
    <xf numFmtId="168" fontId="1" fillId="6" borderId="18" xfId="0" applyNumberFormat="1" applyFont="1" applyFill="1" applyBorder="1"/>
    <xf numFmtId="166" fontId="1" fillId="6" borderId="17" xfId="0" applyNumberFormat="1" applyFont="1" applyFill="1" applyBorder="1"/>
    <xf numFmtId="166" fontId="0" fillId="3" borderId="2" xfId="0" applyNumberFormat="1" applyFill="1" applyBorder="1"/>
    <xf numFmtId="166" fontId="0" fillId="2" borderId="0" xfId="0" applyNumberFormat="1" applyFill="1" applyBorder="1"/>
    <xf numFmtId="166" fontId="1" fillId="2" borderId="0" xfId="0" applyNumberFormat="1" applyFont="1" applyFill="1" applyBorder="1"/>
    <xf numFmtId="166" fontId="0" fillId="2" borderId="2" xfId="0" applyNumberFormat="1" applyFill="1" applyBorder="1"/>
    <xf numFmtId="166" fontId="1" fillId="6" borderId="16" xfId="0" applyNumberFormat="1" applyFont="1" applyFill="1" applyBorder="1"/>
    <xf numFmtId="38" fontId="1" fillId="3" borderId="20" xfId="0" applyNumberFormat="1" applyFont="1" applyFill="1" applyBorder="1"/>
    <xf numFmtId="167" fontId="1" fillId="5" borderId="20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0" fontId="5" fillId="0" borderId="0" xfId="0" applyFont="1"/>
    <xf numFmtId="3" fontId="5" fillId="0" borderId="0" xfId="0" applyNumberFormat="1" applyFont="1"/>
    <xf numFmtId="3" fontId="0" fillId="3" borderId="2" xfId="0" applyNumberFormat="1" applyFont="1" applyFill="1" applyBorder="1"/>
    <xf numFmtId="0" fontId="1" fillId="0" borderId="11" xfId="0" applyFont="1" applyBorder="1" applyAlignment="1">
      <alignment horizontal="center"/>
    </xf>
    <xf numFmtId="0" fontId="0" fillId="0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6" xfId="0" applyFill="1" applyBorder="1"/>
    <xf numFmtId="0" fontId="0" fillId="0" borderId="0" xfId="0" applyFill="1"/>
    <xf numFmtId="0" fontId="0" fillId="4" borderId="8" xfId="0" applyFill="1" applyBorder="1"/>
    <xf numFmtId="0" fontId="0" fillId="0" borderId="23" xfId="0" applyBorder="1"/>
    <xf numFmtId="0" fontId="0" fillId="0" borderId="19" xfId="0" applyFill="1" applyBorder="1"/>
    <xf numFmtId="3" fontId="4" fillId="0" borderId="19" xfId="0" applyNumberFormat="1" applyFont="1" applyFill="1" applyBorder="1"/>
    <xf numFmtId="3" fontId="0" fillId="0" borderId="19" xfId="0" applyNumberFormat="1" applyFill="1" applyBorder="1"/>
    <xf numFmtId="0" fontId="1" fillId="0" borderId="19" xfId="0" applyFont="1" applyFill="1" applyBorder="1"/>
    <xf numFmtId="169" fontId="0" fillId="2" borderId="25" xfId="0" applyNumberFormat="1" applyFill="1" applyBorder="1"/>
    <xf numFmtId="169" fontId="0" fillId="2" borderId="24" xfId="0" applyNumberFormat="1" applyFill="1" applyBorder="1"/>
    <xf numFmtId="169" fontId="0" fillId="3" borderId="25" xfId="0" applyNumberFormat="1" applyFill="1" applyBorder="1"/>
    <xf numFmtId="169" fontId="0" fillId="3" borderId="24" xfId="0" applyNumberFormat="1" applyFill="1" applyBorder="1"/>
    <xf numFmtId="169" fontId="0" fillId="4" borderId="25" xfId="0" applyNumberFormat="1" applyFill="1" applyBorder="1"/>
    <xf numFmtId="169" fontId="0" fillId="4" borderId="24" xfId="0" applyNumberFormat="1" applyFill="1" applyBorder="1"/>
    <xf numFmtId="169" fontId="0" fillId="5" borderId="25" xfId="0" applyNumberFormat="1" applyFill="1" applyBorder="1"/>
    <xf numFmtId="169" fontId="0" fillId="5" borderId="24" xfId="0" applyNumberFormat="1" applyFill="1" applyBorder="1"/>
    <xf numFmtId="0" fontId="0" fillId="0" borderId="19" xfId="0" applyBorder="1"/>
    <xf numFmtId="40" fontId="0" fillId="3" borderId="25" xfId="0" applyNumberFormat="1" applyFill="1" applyBorder="1"/>
    <xf numFmtId="40" fontId="0" fillId="3" borderId="24" xfId="0" applyNumberFormat="1" applyFill="1" applyBorder="1"/>
    <xf numFmtId="40" fontId="0" fillId="4" borderId="26" xfId="0" applyNumberFormat="1" applyFill="1" applyBorder="1"/>
    <xf numFmtId="167" fontId="1" fillId="6" borderId="27" xfId="0" applyNumberFormat="1" applyFont="1" applyFill="1" applyBorder="1"/>
    <xf numFmtId="0" fontId="0" fillId="3" borderId="28" xfId="0" applyFill="1" applyBorder="1"/>
    <xf numFmtId="167" fontId="0" fillId="3" borderId="29" xfId="0" applyNumberFormat="1" applyFill="1" applyBorder="1"/>
    <xf numFmtId="40" fontId="0" fillId="3" borderId="31" xfId="0" applyNumberFormat="1" applyFill="1" applyBorder="1"/>
    <xf numFmtId="0" fontId="0" fillId="4" borderId="28" xfId="0" applyFill="1" applyBorder="1"/>
    <xf numFmtId="167" fontId="0" fillId="4" borderId="29" xfId="0" applyNumberFormat="1" applyFill="1" applyBorder="1"/>
    <xf numFmtId="40" fontId="0" fillId="4" borderId="30" xfId="0" applyNumberFormat="1" applyFill="1" applyBorder="1"/>
    <xf numFmtId="40" fontId="0" fillId="4" borderId="31" xfId="0" applyNumberFormat="1" applyFill="1" applyBorder="1"/>
    <xf numFmtId="0" fontId="0" fillId="5" borderId="28" xfId="0" applyFill="1" applyBorder="1"/>
    <xf numFmtId="167" fontId="0" fillId="5" borderId="29" xfId="0" applyNumberFormat="1" applyFill="1" applyBorder="1"/>
    <xf numFmtId="169" fontId="0" fillId="5" borderId="31" xfId="0" applyNumberFormat="1" applyFill="1" applyBorder="1"/>
    <xf numFmtId="166" fontId="0" fillId="0" borderId="0" xfId="0" applyNumberFormat="1"/>
    <xf numFmtId="166" fontId="0" fillId="0" borderId="0" xfId="0" applyNumberFormat="1" applyFill="1" applyBorder="1"/>
    <xf numFmtId="166" fontId="0" fillId="0" borderId="19" xfId="0" applyNumberFormat="1" applyBorder="1"/>
    <xf numFmtId="166" fontId="0" fillId="2" borderId="15" xfId="0" applyNumberFormat="1" applyFill="1" applyBorder="1"/>
    <xf numFmtId="0" fontId="10" fillId="0" borderId="0" xfId="0" applyFont="1"/>
    <xf numFmtId="0" fontId="0" fillId="0" borderId="24" xfId="0" applyFill="1" applyBorder="1"/>
    <xf numFmtId="0" fontId="7" fillId="0" borderId="0" xfId="0" applyFont="1" applyAlignment="1">
      <alignment wrapText="1"/>
    </xf>
    <xf numFmtId="0" fontId="12" fillId="0" borderId="0" xfId="0" applyFont="1"/>
    <xf numFmtId="0" fontId="0" fillId="0" borderId="0" xfId="0" applyBorder="1" applyAlignment="1">
      <alignment wrapText="1"/>
    </xf>
    <xf numFmtId="3" fontId="1" fillId="6" borderId="16" xfId="0" applyNumberFormat="1" applyFont="1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" xfId="0" applyBorder="1"/>
    <xf numFmtId="166" fontId="0" fillId="0" borderId="0" xfId="0" applyNumberFormat="1" applyBorder="1"/>
    <xf numFmtId="167" fontId="0" fillId="0" borderId="33" xfId="0" applyNumberFormat="1" applyBorder="1"/>
    <xf numFmtId="166" fontId="0" fillId="0" borderId="1" xfId="0" applyNumberFormat="1" applyBorder="1"/>
    <xf numFmtId="0" fontId="2" fillId="0" borderId="0" xfId="0" applyFont="1" applyFill="1"/>
    <xf numFmtId="0" fontId="2" fillId="0" borderId="0" xfId="0" applyFont="1" applyFill="1" applyBorder="1"/>
    <xf numFmtId="0" fontId="0" fillId="2" borderId="0" xfId="0" applyFill="1"/>
    <xf numFmtId="3" fontId="0" fillId="2" borderId="0" xfId="0" applyNumberFormat="1" applyFill="1"/>
    <xf numFmtId="0" fontId="5" fillId="2" borderId="0" xfId="0" applyFont="1" applyFill="1"/>
    <xf numFmtId="0" fontId="0" fillId="0" borderId="34" xfId="0" applyBorder="1"/>
    <xf numFmtId="0" fontId="1" fillId="2" borderId="0" xfId="0" applyFont="1" applyFill="1" applyBorder="1"/>
    <xf numFmtId="0" fontId="1" fillId="3" borderId="0" xfId="0" applyFont="1" applyFill="1" applyBorder="1"/>
    <xf numFmtId="0" fontId="0" fillId="3" borderId="0" xfId="0" applyFill="1"/>
    <xf numFmtId="3" fontId="0" fillId="3" borderId="0" xfId="0" applyNumberFormat="1" applyFill="1"/>
    <xf numFmtId="0" fontId="5" fillId="3" borderId="0" xfId="0" applyFont="1" applyFill="1"/>
    <xf numFmtId="0" fontId="0" fillId="3" borderId="1" xfId="0" applyFill="1" applyBorder="1"/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7" fontId="0" fillId="0" borderId="0" xfId="0" applyNumberFormat="1" applyFill="1" applyBorder="1"/>
    <xf numFmtId="167" fontId="1" fillId="0" borderId="0" xfId="0" applyNumberFormat="1" applyFont="1" applyFill="1" applyBorder="1"/>
    <xf numFmtId="40" fontId="0" fillId="0" borderId="0" xfId="0" applyNumberFormat="1" applyFill="1" applyBorder="1"/>
    <xf numFmtId="0" fontId="7" fillId="0" borderId="0" xfId="0" applyFont="1" applyAlignment="1"/>
    <xf numFmtId="169" fontId="0" fillId="0" borderId="0" xfId="0" applyNumberFormat="1" applyFill="1" applyBorder="1"/>
    <xf numFmtId="0" fontId="0" fillId="0" borderId="0" xfId="0" applyFill="1" applyAlignment="1">
      <alignment wrapText="1"/>
    </xf>
    <xf numFmtId="0" fontId="7" fillId="0" borderId="0" xfId="0" applyFont="1" applyBorder="1" applyAlignment="1"/>
    <xf numFmtId="166" fontId="0" fillId="0" borderId="0" xfId="0" applyNumberForma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3" fontId="0" fillId="0" borderId="33" xfId="0" applyNumberFormat="1" applyBorder="1"/>
    <xf numFmtId="0" fontId="0" fillId="0" borderId="4" xfId="0" applyBorder="1"/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1" fontId="1" fillId="0" borderId="35" xfId="0" applyNumberFormat="1" applyFont="1" applyFill="1" applyBorder="1" applyAlignment="1">
      <alignment horizontal="center"/>
    </xf>
    <xf numFmtId="167" fontId="1" fillId="6" borderId="19" xfId="0" applyNumberFormat="1" applyFont="1" applyFill="1" applyBorder="1"/>
    <xf numFmtId="0" fontId="0" fillId="4" borderId="38" xfId="0" applyFill="1" applyBorder="1"/>
    <xf numFmtId="0" fontId="0" fillId="4" borderId="39" xfId="0" applyFill="1" applyBorder="1"/>
    <xf numFmtId="38" fontId="1" fillId="6" borderId="40" xfId="0" applyNumberFormat="1" applyFont="1" applyFill="1" applyBorder="1"/>
    <xf numFmtId="169" fontId="0" fillId="4" borderId="26" xfId="0" applyNumberFormat="1" applyFill="1" applyBorder="1"/>
    <xf numFmtId="170" fontId="1" fillId="2" borderId="0" xfId="0" applyNumberFormat="1" applyFont="1" applyFill="1" applyBorder="1"/>
    <xf numFmtId="170" fontId="0" fillId="2" borderId="0" xfId="0" applyNumberFormat="1" applyFill="1" applyBorder="1"/>
    <xf numFmtId="170" fontId="1" fillId="4" borderId="0" xfId="0" applyNumberFormat="1" applyFont="1" applyFill="1" applyBorder="1"/>
    <xf numFmtId="170" fontId="0" fillId="4" borderId="0" xfId="0" applyNumberFormat="1" applyFill="1" applyBorder="1"/>
    <xf numFmtId="164" fontId="0" fillId="0" borderId="24" xfId="0" applyNumberFormat="1" applyFill="1" applyBorder="1"/>
    <xf numFmtId="165" fontId="0" fillId="0" borderId="24" xfId="0" applyNumberFormat="1" applyFill="1" applyBorder="1"/>
    <xf numFmtId="0" fontId="14" fillId="3" borderId="6" xfId="0" applyFont="1" applyFill="1" applyBorder="1" applyAlignment="1">
      <alignment horizontal="center" wrapText="1"/>
    </xf>
    <xf numFmtId="0" fontId="14" fillId="4" borderId="6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 wrapText="1"/>
    </xf>
    <xf numFmtId="0" fontId="0" fillId="2" borderId="38" xfId="0" applyFill="1" applyBorder="1"/>
    <xf numFmtId="38" fontId="1" fillId="6" borderId="19" xfId="0" applyNumberFormat="1" applyFont="1" applyFill="1" applyBorder="1"/>
    <xf numFmtId="38" fontId="1" fillId="3" borderId="0" xfId="0" applyNumberFormat="1" applyFont="1" applyFill="1" applyBorder="1"/>
    <xf numFmtId="38" fontId="1" fillId="3" borderId="2" xfId="0" applyNumberFormat="1" applyFont="1" applyFill="1" applyBorder="1"/>
    <xf numFmtId="38" fontId="1" fillId="3" borderId="41" xfId="0" applyNumberFormat="1" applyFont="1" applyFill="1" applyBorder="1"/>
    <xf numFmtId="38" fontId="1" fillId="3" borderId="29" xfId="0" applyNumberFormat="1" applyFont="1" applyFill="1" applyBorder="1"/>
    <xf numFmtId="167" fontId="1" fillId="6" borderId="42" xfId="0" applyNumberFormat="1" applyFont="1" applyFill="1" applyBorder="1"/>
    <xf numFmtId="169" fontId="0" fillId="5" borderId="30" xfId="0" applyNumberFormat="1" applyFill="1" applyBorder="1"/>
    <xf numFmtId="0" fontId="3" fillId="5" borderId="8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167" fontId="0" fillId="5" borderId="12" xfId="0" applyNumberFormat="1" applyFill="1" applyBorder="1"/>
    <xf numFmtId="0" fontId="0" fillId="0" borderId="3" xfId="0" applyFill="1" applyBorder="1"/>
    <xf numFmtId="0" fontId="16" fillId="0" borderId="0" xfId="0" applyFont="1"/>
    <xf numFmtId="0" fontId="13" fillId="0" borderId="0" xfId="0" applyFont="1"/>
    <xf numFmtId="0" fontId="16" fillId="0" borderId="0" xfId="0" applyFont="1" applyFill="1"/>
    <xf numFmtId="0" fontId="16" fillId="0" borderId="0" xfId="0" applyFont="1" applyBorder="1"/>
    <xf numFmtId="166" fontId="16" fillId="0" borderId="0" xfId="0" applyNumberFormat="1" applyFont="1"/>
    <xf numFmtId="0" fontId="0" fillId="4" borderId="7" xfId="0" applyFill="1" applyBorder="1"/>
    <xf numFmtId="167" fontId="1" fillId="4" borderId="0" xfId="0" applyNumberFormat="1" applyFont="1" applyFill="1" applyBorder="1"/>
    <xf numFmtId="40" fontId="0" fillId="4" borderId="24" xfId="0" applyNumberFormat="1" applyFill="1" applyBorder="1"/>
    <xf numFmtId="0" fontId="1" fillId="0" borderId="44" xfId="0" applyFont="1" applyBorder="1" applyAlignment="1">
      <alignment horizontal="center"/>
    </xf>
    <xf numFmtId="164" fontId="0" fillId="3" borderId="2" xfId="0" applyNumberFormat="1" applyFill="1" applyBorder="1"/>
    <xf numFmtId="1" fontId="0" fillId="3" borderId="0" xfId="0" applyNumberFormat="1" applyFill="1" applyBorder="1"/>
    <xf numFmtId="164" fontId="0" fillId="3" borderId="2" xfId="0" applyNumberFormat="1" applyFont="1" applyFill="1" applyBorder="1"/>
    <xf numFmtId="0" fontId="14" fillId="4" borderId="8" xfId="0" applyFont="1" applyFill="1" applyBorder="1" applyAlignment="1">
      <alignment horizontal="center" wrapText="1"/>
    </xf>
    <xf numFmtId="166" fontId="0" fillId="3" borderId="0" xfId="0" applyNumberFormat="1" applyFill="1" applyBorder="1"/>
    <xf numFmtId="164" fontId="0" fillId="3" borderId="0" xfId="0" applyNumberFormat="1" applyFill="1" applyBorder="1"/>
    <xf numFmtId="164" fontId="1" fillId="3" borderId="0" xfId="0" applyNumberFormat="1" applyFont="1" applyFill="1" applyBorder="1"/>
    <xf numFmtId="168" fontId="0" fillId="3" borderId="0" xfId="0" applyNumberFormat="1" applyFill="1" applyBorder="1"/>
    <xf numFmtId="168" fontId="0" fillId="4" borderId="25" xfId="0" applyNumberFormat="1" applyFill="1" applyBorder="1"/>
    <xf numFmtId="168" fontId="0" fillId="0" borderId="19" xfId="0" applyNumberFormat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0" xfId="0" applyFont="1" applyFill="1"/>
    <xf numFmtId="3" fontId="17" fillId="2" borderId="0" xfId="0" applyNumberFormat="1" applyFont="1" applyFill="1"/>
    <xf numFmtId="10" fontId="0" fillId="0" borderId="0" xfId="0" applyNumberFormat="1"/>
    <xf numFmtId="0" fontId="17" fillId="3" borderId="0" xfId="0" applyFont="1" applyFill="1"/>
    <xf numFmtId="3" fontId="17" fillId="3" borderId="0" xfId="0" applyNumberFormat="1" applyFont="1" applyFill="1"/>
    <xf numFmtId="0" fontId="17" fillId="3" borderId="1" xfId="0" applyFont="1" applyFill="1" applyBorder="1"/>
    <xf numFmtId="3" fontId="17" fillId="3" borderId="1" xfId="0" applyNumberFormat="1" applyFont="1" applyFill="1" applyBorder="1"/>
    <xf numFmtId="3" fontId="0" fillId="0" borderId="33" xfId="0" applyNumberFormat="1" applyBorder="1" applyAlignment="1">
      <alignment horizontal="center"/>
    </xf>
    <xf numFmtId="0" fontId="0" fillId="0" borderId="43" xfId="0" applyBorder="1"/>
    <xf numFmtId="164" fontId="0" fillId="0" borderId="33" xfId="0" applyNumberFormat="1" applyBorder="1"/>
    <xf numFmtId="0" fontId="2" fillId="0" borderId="0" xfId="0" applyFont="1"/>
    <xf numFmtId="3" fontId="2" fillId="0" borderId="0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/>
    <xf numFmtId="1" fontId="1" fillId="0" borderId="2" xfId="0" applyNumberFormat="1" applyFont="1" applyFill="1" applyBorder="1" applyAlignment="1">
      <alignment horizontal="center"/>
    </xf>
    <xf numFmtId="164" fontId="0" fillId="0" borderId="45" xfId="0" applyNumberFormat="1" applyBorder="1"/>
    <xf numFmtId="164" fontId="0" fillId="0" borderId="43" xfId="0" applyNumberFormat="1" applyBorder="1"/>
    <xf numFmtId="4" fontId="0" fillId="0" borderId="0" xfId="0" applyNumberFormat="1"/>
    <xf numFmtId="4" fontId="1" fillId="6" borderId="16" xfId="0" applyNumberFormat="1" applyFont="1" applyFill="1" applyBorder="1"/>
    <xf numFmtId="40" fontId="0" fillId="0" borderId="0" xfId="0" applyNumberFormat="1"/>
    <xf numFmtId="172" fontId="1" fillId="6" borderId="17" xfId="0" applyNumberFormat="1" applyFont="1" applyFill="1" applyBorder="1"/>
    <xf numFmtId="38" fontId="0" fillId="0" borderId="0" xfId="0" applyNumberFormat="1"/>
    <xf numFmtId="164" fontId="0" fillId="2" borderId="0" xfId="0" applyNumberFormat="1" applyFill="1" applyBorder="1"/>
    <xf numFmtId="164" fontId="0" fillId="4" borderId="0" xfId="0" applyNumberFormat="1" applyFill="1" applyBorder="1"/>
    <xf numFmtId="167" fontId="0" fillId="4" borderId="33" xfId="0" applyNumberFormat="1" applyFill="1" applyBorder="1"/>
    <xf numFmtId="0" fontId="0" fillId="0" borderId="11" xfId="0" applyFill="1" applyBorder="1"/>
    <xf numFmtId="0" fontId="14" fillId="3" borderId="7" xfId="0" applyFont="1" applyFill="1" applyBorder="1" applyAlignment="1">
      <alignment horizontal="center" wrapText="1"/>
    </xf>
    <xf numFmtId="3" fontId="0" fillId="3" borderId="0" xfId="0" applyNumberFormat="1" applyFont="1" applyFill="1" applyBorder="1"/>
    <xf numFmtId="0" fontId="3" fillId="2" borderId="4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8" fontId="0" fillId="2" borderId="33" xfId="0" applyNumberFormat="1" applyFill="1" applyBorder="1"/>
    <xf numFmtId="3" fontId="4" fillId="2" borderId="0" xfId="0" applyNumberFormat="1" applyFont="1" applyFill="1" applyBorder="1"/>
    <xf numFmtId="0" fontId="3" fillId="0" borderId="44" xfId="0" applyFont="1" applyBorder="1" applyAlignment="1">
      <alignment horizontal="center" wrapText="1"/>
    </xf>
    <xf numFmtId="0" fontId="2" fillId="0" borderId="48" xfId="0" applyFont="1" applyBorder="1" applyAlignment="1">
      <alignment wrapText="1"/>
    </xf>
    <xf numFmtId="0" fontId="0" fillId="0" borderId="49" xfId="0" applyBorder="1"/>
    <xf numFmtId="0" fontId="0" fillId="0" borderId="49" xfId="0" applyFill="1" applyBorder="1"/>
    <xf numFmtId="3" fontId="0" fillId="2" borderId="33" xfId="0" applyNumberFormat="1" applyFill="1" applyBorder="1"/>
    <xf numFmtId="3" fontId="0" fillId="2" borderId="24" xfId="0" applyNumberFormat="1" applyFill="1" applyBorder="1"/>
    <xf numFmtId="38" fontId="0" fillId="4" borderId="0" xfId="0" applyNumberFormat="1" applyFill="1" applyBorder="1"/>
    <xf numFmtId="3" fontId="0" fillId="3" borderId="33" xfId="0" applyNumberFormat="1" applyFill="1" applyBorder="1"/>
    <xf numFmtId="10" fontId="0" fillId="4" borderId="29" xfId="0" applyNumberFormat="1" applyFill="1" applyBorder="1"/>
    <xf numFmtId="0" fontId="14" fillId="4" borderId="50" xfId="0" applyFont="1" applyFill="1" applyBorder="1" applyAlignment="1">
      <alignment horizontal="center" wrapText="1"/>
    </xf>
    <xf numFmtId="0" fontId="2" fillId="4" borderId="51" xfId="0" applyFont="1" applyFill="1" applyBorder="1" applyAlignment="1">
      <alignment horizontal="center" wrapText="1"/>
    </xf>
    <xf numFmtId="0" fontId="0" fillId="5" borderId="24" xfId="0" applyFill="1" applyBorder="1"/>
    <xf numFmtId="0" fontId="0" fillId="5" borderId="26" xfId="0" applyFill="1" applyBorder="1"/>
    <xf numFmtId="0" fontId="0" fillId="4" borderId="24" xfId="0" applyFill="1" applyBorder="1"/>
    <xf numFmtId="0" fontId="0" fillId="4" borderId="30" xfId="0" applyFill="1" applyBorder="1"/>
    <xf numFmtId="0" fontId="0" fillId="4" borderId="47" xfId="0" applyFill="1" applyBorder="1"/>
    <xf numFmtId="0" fontId="0" fillId="3" borderId="24" xfId="0" applyFill="1" applyBorder="1"/>
    <xf numFmtId="0" fontId="0" fillId="3" borderId="47" xfId="0" applyFill="1" applyBorder="1"/>
    <xf numFmtId="167" fontId="1" fillId="3" borderId="0" xfId="0" applyNumberFormat="1" applyFont="1" applyFill="1" applyBorder="1"/>
    <xf numFmtId="0" fontId="0" fillId="0" borderId="2" xfId="0" applyFill="1" applyBorder="1"/>
    <xf numFmtId="164" fontId="0" fillId="0" borderId="2" xfId="0" applyNumberFormat="1" applyBorder="1"/>
    <xf numFmtId="164" fontId="0" fillId="0" borderId="3" xfId="0" applyNumberFormat="1" applyBorder="1"/>
    <xf numFmtId="3" fontId="17" fillId="6" borderId="35" xfId="0" applyNumberFormat="1" applyFont="1" applyFill="1" applyBorder="1"/>
    <xf numFmtId="10" fontId="18" fillId="0" borderId="0" xfId="0" applyNumberFormat="1" applyFont="1"/>
    <xf numFmtId="3" fontId="17" fillId="6" borderId="0" xfId="0" applyNumberFormat="1" applyFont="1" applyFill="1"/>
    <xf numFmtId="0" fontId="0" fillId="0" borderId="13" xfId="0" applyFill="1" applyBorder="1"/>
    <xf numFmtId="0" fontId="0" fillId="0" borderId="15" xfId="0" applyFill="1" applyBorder="1"/>
    <xf numFmtId="0" fontId="0" fillId="0" borderId="52" xfId="0" applyFill="1" applyBorder="1"/>
    <xf numFmtId="0" fontId="0" fillId="0" borderId="14" xfId="0" applyFill="1" applyBorder="1"/>
    <xf numFmtId="166" fontId="0" fillId="0" borderId="15" xfId="0" applyNumberFormat="1" applyFill="1" applyBorder="1"/>
    <xf numFmtId="0" fontId="0" fillId="0" borderId="53" xfId="0" applyBorder="1" applyAlignment="1">
      <alignment wrapText="1"/>
    </xf>
    <xf numFmtId="0" fontId="1" fillId="2" borderId="54" xfId="0" applyFont="1" applyFill="1" applyBorder="1" applyAlignment="1">
      <alignment horizontal="center" wrapText="1"/>
    </xf>
    <xf numFmtId="0" fontId="1" fillId="3" borderId="54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 wrapText="1"/>
    </xf>
    <xf numFmtId="0" fontId="0" fillId="0" borderId="41" xfId="0" applyBorder="1"/>
    <xf numFmtId="10" fontId="0" fillId="3" borderId="0" xfId="0" applyNumberFormat="1" applyFill="1" applyBorder="1"/>
    <xf numFmtId="168" fontId="0" fillId="4" borderId="29" xfId="0" applyNumberFormat="1" applyFill="1" applyBorder="1"/>
    <xf numFmtId="0" fontId="0" fillId="0" borderId="41" xfId="0" applyFill="1" applyBorder="1"/>
    <xf numFmtId="0" fontId="0" fillId="0" borderId="55" xfId="0" applyFill="1" applyBorder="1"/>
    <xf numFmtId="164" fontId="0" fillId="2" borderId="24" xfId="0" applyNumberFormat="1" applyFill="1" applyBorder="1"/>
    <xf numFmtId="164" fontId="0" fillId="4" borderId="24" xfId="0" applyNumberFormat="1" applyFill="1" applyBorder="1"/>
    <xf numFmtId="0" fontId="1" fillId="2" borderId="38" xfId="0" applyFont="1" applyFill="1" applyBorder="1" applyAlignment="1">
      <alignment horizontal="center" wrapText="1"/>
    </xf>
    <xf numFmtId="164" fontId="0" fillId="2" borderId="2" xfId="0" applyNumberFormat="1" applyFill="1" applyBorder="1"/>
    <xf numFmtId="0" fontId="1" fillId="3" borderId="38" xfId="0" applyFont="1" applyFill="1" applyBorder="1" applyAlignment="1">
      <alignment horizontal="center" wrapText="1"/>
    </xf>
    <xf numFmtId="165" fontId="0" fillId="3" borderId="2" xfId="0" applyNumberFormat="1" applyFill="1" applyBorder="1"/>
    <xf numFmtId="0" fontId="1" fillId="4" borderId="38" xfId="0" applyFont="1" applyFill="1" applyBorder="1" applyAlignment="1">
      <alignment horizontal="center" wrapText="1"/>
    </xf>
    <xf numFmtId="164" fontId="0" fillId="4" borderId="2" xfId="0" applyNumberFormat="1" applyFill="1" applyBorder="1"/>
    <xf numFmtId="170" fontId="1" fillId="2" borderId="2" xfId="0" applyNumberFormat="1" applyFont="1" applyFill="1" applyBorder="1"/>
    <xf numFmtId="170" fontId="0" fillId="2" borderId="2" xfId="0" applyNumberFormat="1" applyFill="1" applyBorder="1"/>
    <xf numFmtId="0" fontId="0" fillId="3" borderId="38" xfId="0" applyFill="1" applyBorder="1"/>
    <xf numFmtId="171" fontId="1" fillId="3" borderId="2" xfId="0" applyNumberFormat="1" applyFont="1" applyFill="1" applyBorder="1"/>
    <xf numFmtId="171" fontId="0" fillId="3" borderId="2" xfId="0" applyNumberFormat="1" applyFill="1" applyBorder="1"/>
    <xf numFmtId="170" fontId="1" fillId="4" borderId="2" xfId="0" applyNumberFormat="1" applyFont="1" applyFill="1" applyBorder="1"/>
    <xf numFmtId="170" fontId="0" fillId="4" borderId="2" xfId="0" applyNumberFormat="1" applyFill="1" applyBorder="1"/>
    <xf numFmtId="0" fontId="0" fillId="0" borderId="12" xfId="0" applyBorder="1"/>
    <xf numFmtId="0" fontId="1" fillId="0" borderId="12" xfId="0" applyFont="1" applyBorder="1"/>
    <xf numFmtId="170" fontId="1" fillId="4" borderId="29" xfId="0" applyNumberFormat="1" applyFont="1" applyFill="1" applyBorder="1"/>
    <xf numFmtId="170" fontId="0" fillId="4" borderId="29" xfId="0" applyNumberFormat="1" applyFill="1" applyBorder="1"/>
    <xf numFmtId="169" fontId="0" fillId="4" borderId="30" xfId="0" applyNumberFormat="1" applyFill="1" applyBorder="1"/>
    <xf numFmtId="0" fontId="2" fillId="0" borderId="56" xfId="0" applyFont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2" fillId="4" borderId="51" xfId="0" applyFont="1" applyFill="1" applyBorder="1" applyAlignment="1">
      <alignment wrapText="1"/>
    </xf>
    <xf numFmtId="3" fontId="1" fillId="0" borderId="0" xfId="0" applyNumberFormat="1" applyFont="1"/>
    <xf numFmtId="3" fontId="0" fillId="0" borderId="43" xfId="0" applyNumberFormat="1" applyBorder="1"/>
    <xf numFmtId="164" fontId="1" fillId="6" borderId="16" xfId="0" applyNumberFormat="1" applyFont="1" applyFill="1" applyBorder="1"/>
    <xf numFmtId="165" fontId="1" fillId="6" borderId="16" xfId="0" applyNumberFormat="1" applyFont="1" applyFill="1" applyBorder="1"/>
    <xf numFmtId="10" fontId="1" fillId="6" borderId="16" xfId="0" applyNumberFormat="1" applyFont="1" applyFill="1" applyBorder="1"/>
    <xf numFmtId="0" fontId="0" fillId="0" borderId="23" xfId="0" applyFill="1" applyBorder="1"/>
    <xf numFmtId="3" fontId="19" fillId="2" borderId="16" xfId="0" applyNumberFormat="1" applyFont="1" applyFill="1" applyBorder="1"/>
    <xf numFmtId="167" fontId="1" fillId="6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Kansas Wheat Harvested Acres Forecast Accuracy</a:t>
            </a:r>
          </a:p>
          <a:p>
            <a:pPr>
              <a:defRPr/>
            </a:pPr>
            <a:r>
              <a:rPr lang="en-US" sz="1600" b="1"/>
              <a:t>by</a:t>
            </a:r>
            <a:r>
              <a:rPr lang="en-US" sz="1600" b="1" baseline="0"/>
              <a:t> the Yearly Spring Kansas Wheat Tour</a:t>
            </a:r>
            <a:r>
              <a:rPr lang="en-US" sz="1600" b="1"/>
              <a:t> </a:t>
            </a:r>
          </a:p>
          <a:p>
            <a:pPr>
              <a:defRPr/>
            </a:pPr>
            <a:r>
              <a:rPr lang="en-US"/>
              <a:t>Year 2000-2016 Final Results with Implicit 2017</a:t>
            </a:r>
            <a:r>
              <a:rPr lang="en-US" baseline="0"/>
              <a:t> Forecast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6"/>
          <c:tx>
            <c:strRef>
              <c:f>'KS Wheat Tour_Kansas'!$L$59</c:f>
              <c:strCache>
                <c:ptCount val="1"/>
                <c:pt idx="0">
                  <c:v>KWT KS Wheat Harvested Acres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6350">
                <a:solidFill>
                  <a:srgbClr val="C00000"/>
                </a:solidFill>
              </a:ln>
              <a:effectLst/>
            </c:spPr>
          </c:marker>
          <c:cat>
            <c:numRef>
              <c:f>'KS Wheat Tour_Kansas'!$K$60:$K$77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Tour_Kansas'!$L$60:$L$77</c:f>
              <c:numCache>
                <c:formatCode>#,##0.0</c:formatCode>
                <c:ptCount val="18"/>
                <c:pt idx="0">
                  <c:v>9.2367149758454108</c:v>
                </c:pt>
                <c:pt idx="1">
                  <c:v>8.4892966360856263</c:v>
                </c:pt>
                <c:pt idx="2">
                  <c:v>8.3426966292134832</c:v>
                </c:pt>
                <c:pt idx="3">
                  <c:v>9.3814432989690726</c:v>
                </c:pt>
                <c:pt idx="4">
                  <c:v>9.4919786096256686</c:v>
                </c:pt>
                <c:pt idx="5">
                  <c:v>9.0857142857142854</c:v>
                </c:pt>
                <c:pt idx="6">
                  <c:v>8.558176943699733</c:v>
                </c:pt>
                <c:pt idx="7">
                  <c:v>9.5780487804878049</c:v>
                </c:pt>
                <c:pt idx="8">
                  <c:v>8.7551963048498855</c:v>
                </c:pt>
                <c:pt idx="9">
                  <c:v>8.1691176470588243</c:v>
                </c:pt>
                <c:pt idx="10">
                  <c:v>8.1941031941031941</c:v>
                </c:pt>
                <c:pt idx="11">
                  <c:v>6.8636363636363633</c:v>
                </c:pt>
                <c:pt idx="12">
                  <c:v>8.2240325865580441</c:v>
                </c:pt>
                <c:pt idx="13">
                  <c:v>7.6180048661800486</c:v>
                </c:pt>
                <c:pt idx="14">
                  <c:v>7.8524096385542155</c:v>
                </c:pt>
                <c:pt idx="15">
                  <c:v>8.0362116991643457</c:v>
                </c:pt>
                <c:pt idx="16">
                  <c:v>7.8683127572016458</c:v>
                </c:pt>
                <c:pt idx="17">
                  <c:v>6.1106290672451191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0-4F42-B870-5FB7DE4AF562}"/>
            </c:ext>
          </c:extLst>
        </c:ser>
        <c:ser>
          <c:idx val="16"/>
          <c:order val="16"/>
          <c:tx>
            <c:strRef>
              <c:f>'KS Wheat Tour_Kansas'!$M$59</c:f>
              <c:strCache>
                <c:ptCount val="1"/>
                <c:pt idx="0">
                  <c:v>USDA KS Wheat Final Harvested Acres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70C0"/>
              </a:solidFill>
              <a:ln w="6350">
                <a:solidFill>
                  <a:srgbClr val="0070C0"/>
                </a:solidFill>
              </a:ln>
              <a:effectLst/>
            </c:spPr>
          </c:marker>
          <c:cat>
            <c:numRef>
              <c:f>'KS Wheat Tour_Kansas'!$K$60:$K$77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Tour_Kansas'!$M$60:$M$76</c:f>
              <c:numCache>
                <c:formatCode>#,##0.0</c:formatCode>
                <c:ptCount val="17"/>
                <c:pt idx="0">
                  <c:v>9.4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10</c:v>
                </c:pt>
                <c:pt idx="4">
                  <c:v>8.5</c:v>
                </c:pt>
                <c:pt idx="5">
                  <c:v>9.5</c:v>
                </c:pt>
                <c:pt idx="6">
                  <c:v>9.1</c:v>
                </c:pt>
                <c:pt idx="7">
                  <c:v>8.6</c:v>
                </c:pt>
                <c:pt idx="8">
                  <c:v>9</c:v>
                </c:pt>
                <c:pt idx="9">
                  <c:v>8.9499999999999993</c:v>
                </c:pt>
                <c:pt idx="10">
                  <c:v>8</c:v>
                </c:pt>
                <c:pt idx="11">
                  <c:v>7.95</c:v>
                </c:pt>
                <c:pt idx="12">
                  <c:v>9.1</c:v>
                </c:pt>
                <c:pt idx="13">
                  <c:v>8.4499999999999993</c:v>
                </c:pt>
                <c:pt idx="14">
                  <c:v>8.8000000000000007</c:v>
                </c:pt>
                <c:pt idx="15">
                  <c:v>8.6999999999999993</c:v>
                </c:pt>
                <c:pt idx="16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0-4F42-B870-5FB7DE4AF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30776"/>
        <c:axId val="36352346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'KS Wheat Tour_Kansas'!$L$60:$O$60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9.2367149758454108</c:v>
                      </c:pt>
                      <c:pt idx="1">
                        <c:v>9.4</c:v>
                      </c:pt>
                      <c:pt idx="3" formatCode="0.0%">
                        <c:v>3.9907582440663614E-3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7070-4F42-B870-5FB7DE4AF562}"/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Tour_Kansas'!$L$61:$O$61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8.4892966360856263</c:v>
                      </c:pt>
                      <c:pt idx="1">
                        <c:v>8.1999999999999993</c:v>
                      </c:pt>
                      <c:pt idx="3" formatCode="0.0%">
                        <c:v>1.0630551914955433E-2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070-4F42-B870-5FB7DE4AF562}"/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Tour_Kansas'!$L$62:$O$62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8.3426966292134832</c:v>
                      </c:pt>
                      <c:pt idx="1">
                        <c:v>8.1999999999999993</c:v>
                      </c:pt>
                      <c:pt idx="3" formatCode="0.0%">
                        <c:v>4.2837078651685401E-2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070-4F42-B870-5FB7DE4AF562}"/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Tour_Kansas'!$L$63:$O$63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9.3814432989690726</c:v>
                      </c:pt>
                      <c:pt idx="1">
                        <c:v>10</c:v>
                      </c:pt>
                      <c:pt idx="3" formatCode="0.0%">
                        <c:v>-3.2840897013497572E-2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070-4F42-B870-5FB7DE4AF562}"/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Tour_Kansas'!$L$64:$O$64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9.4919786096256686</c:v>
                      </c:pt>
                      <c:pt idx="1">
                        <c:v>8.5</c:v>
                      </c:pt>
                      <c:pt idx="3" formatCode="0.0%">
                        <c:v>5.4664289958407775E-2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070-4F42-B870-5FB7DE4AF562}"/>
                  </c:ext>
                </c:extLst>
              </c15:ser>
            </c15:filteredLineSeries>
            <c15:filteredLineSeries>
              <c15:ser>
                <c:idx val="6"/>
                <c:order val="5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Tour_Kansas'!$L$65:$O$65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9.0857142857142854</c:v>
                      </c:pt>
                      <c:pt idx="1">
                        <c:v>9.5</c:v>
                      </c:pt>
                      <c:pt idx="3" formatCode="0.0%">
                        <c:v>-5.3571428571428603E-2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070-4F42-B870-5FB7DE4AF562}"/>
                  </c:ext>
                </c:extLst>
              </c15:ser>
            </c15:filteredLineSeries>
            <c15:filteredLineSeries>
              <c15:ser>
                <c:idx val="8"/>
                <c:order val="7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Tour_Kansas'!$L$67:$O$67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9.5780487804878049</c:v>
                      </c:pt>
                      <c:pt idx="1">
                        <c:v>8.6</c:v>
                      </c:pt>
                      <c:pt idx="3" formatCode="0.0%">
                        <c:v>8.2156611039796434E-3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070-4F42-B870-5FB7DE4AF562}"/>
                  </c:ext>
                </c:extLst>
              </c15:ser>
            </c15:filteredLineSeries>
            <c15:filteredLineSeries>
              <c15:ser>
                <c:idx val="9"/>
                <c:order val="8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Tour_Kansas'!$L$68:$O$68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8.7551963048498855</c:v>
                      </c:pt>
                      <c:pt idx="1">
                        <c:v>9</c:v>
                      </c:pt>
                      <c:pt idx="3" formatCode="0.0%">
                        <c:v>-6.859613778192708E-2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7070-4F42-B870-5FB7DE4AF562}"/>
                  </c:ext>
                </c:extLst>
              </c15:ser>
            </c15:filteredLineSeries>
            <c15:filteredLineSeries>
              <c15:ser>
                <c:idx val="10"/>
                <c:order val="9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Tour_Kansas'!$L$69:$O$69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8.1691176470588243</c:v>
                      </c:pt>
                      <c:pt idx="1">
                        <c:v>8.9499999999999993</c:v>
                      </c:pt>
                      <c:pt idx="3" formatCode="0.0%">
                        <c:v>-3.8927335640138394E-2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070-4F42-B870-5FB7DE4AF562}"/>
                  </c:ext>
                </c:extLst>
              </c15:ser>
            </c15:filteredLineSeries>
            <c15:filteredLineSeries>
              <c15:ser>
                <c:idx val="11"/>
                <c:order val="10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Tour_Kansas'!$L$70:$O$70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8.1941031941031941</c:v>
                      </c:pt>
                      <c:pt idx="1">
                        <c:v>8</c:v>
                      </c:pt>
                      <c:pt idx="3" formatCode="0.0%">
                        <c:v>-7.1912267034213162E-4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7070-4F42-B870-5FB7DE4AF562}"/>
                  </c:ext>
                </c:extLst>
              </c15:ser>
            </c15:filteredLineSeries>
            <c15:filteredLineSeries>
              <c15:ser>
                <c:idx val="12"/>
                <c:order val="11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Tour_Kansas'!$L$71:$O$71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6.8636363636363633</c:v>
                      </c:pt>
                      <c:pt idx="1">
                        <c:v>7.95</c:v>
                      </c:pt>
                      <c:pt idx="3" formatCode="0.0%">
                        <c:v>-0.10861865407319959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7070-4F42-B870-5FB7DE4AF562}"/>
                  </c:ext>
                </c:extLst>
              </c15:ser>
            </c15:filteredLineSeries>
            <c15:filteredLineSeries>
              <c15:ser>
                <c:idx val="13"/>
                <c:order val="12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Tour_Kansas'!$L$72:$O$72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8.2240325865580441</c:v>
                      </c:pt>
                      <c:pt idx="1">
                        <c:v>9.1</c:v>
                      </c:pt>
                      <c:pt idx="3" formatCode="0.0%">
                        <c:v>-8.6218601493550651E-2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070-4F42-B870-5FB7DE4AF562}"/>
                  </c:ext>
                </c:extLst>
              </c15:ser>
            </c15:filteredLineSeries>
            <c15:filteredLineSeries>
              <c15:ser>
                <c:idx val="14"/>
                <c:order val="13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Tour_Kansas'!$L$73:$O$73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7.6180048661800486</c:v>
                      </c:pt>
                      <c:pt idx="1">
                        <c:v>8.4499999999999993</c:v>
                      </c:pt>
                      <c:pt idx="3" formatCode="0.0%">
                        <c:v>-5.9505572076537283E-2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070-4F42-B870-5FB7DE4AF562}"/>
                  </c:ext>
                </c:extLst>
              </c15:ser>
            </c15:filteredLineSeries>
            <c15:filteredLineSeries>
              <c15:ser>
                <c:idx val="15"/>
                <c:order val="14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Tour_Kansas'!$L$74:$O$74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7.8524096385542155</c:v>
                      </c:pt>
                      <c:pt idx="1">
                        <c:v>8.8000000000000007</c:v>
                      </c:pt>
                      <c:pt idx="3" formatCode="0.0%">
                        <c:v>-6.5189328743545771E-2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7070-4F42-B870-5FB7DE4AF562}"/>
                  </c:ext>
                </c:extLst>
              </c15:ser>
            </c15:filteredLineSeries>
            <c15:filteredLineSeries>
              <c15:ser>
                <c:idx val="0"/>
                <c:order val="15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Tour_Kansas'!$K$60:$K$77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Tour_Kansas'!$L$75:$O$75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8.0362116991643457</c:v>
                      </c:pt>
                      <c:pt idx="1">
                        <c:v>8.6999999999999993</c:v>
                      </c:pt>
                      <c:pt idx="3" formatCode="0.0%">
                        <c:v>-5.4563329510076919E-2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070-4F42-B870-5FB7DE4AF562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7"/>
          <c:order val="17"/>
          <c:tx>
            <c:strRef>
              <c:f>'KS Wheat Tour_Kansas'!$O$59</c:f>
              <c:strCache>
                <c:ptCount val="1"/>
                <c:pt idx="0">
                  <c:v>KWT % Forecast Error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dLbls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70-4F42-B870-5FB7DE4AF562}"/>
                </c:ext>
              </c:extLst>
            </c:dLbl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70-4F42-B870-5FB7DE4AF562}"/>
                </c:ext>
              </c:extLst>
            </c:dLbl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70-4F42-B870-5FB7DE4AF562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70-4F42-B870-5FB7DE4AF5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'KS Wheat Tour_Kansas'!$O$60:$O$76</c:f>
              <c:numCache>
                <c:formatCode>0.0%</c:formatCode>
                <c:ptCount val="17"/>
                <c:pt idx="0">
                  <c:v>3.9907582440663614E-3</c:v>
                </c:pt>
                <c:pt idx="1">
                  <c:v>1.0630551914955433E-2</c:v>
                </c:pt>
                <c:pt idx="2">
                  <c:v>4.2837078651685401E-2</c:v>
                </c:pt>
                <c:pt idx="3">
                  <c:v>-3.2840897013497572E-2</c:v>
                </c:pt>
                <c:pt idx="4">
                  <c:v>5.4664289958407775E-2</c:v>
                </c:pt>
                <c:pt idx="5">
                  <c:v>-5.3571428571428603E-2</c:v>
                </c:pt>
                <c:pt idx="6">
                  <c:v>-8.9555644287262481E-2</c:v>
                </c:pt>
                <c:pt idx="7">
                  <c:v>8.2156611039796434E-3</c:v>
                </c:pt>
                <c:pt idx="8">
                  <c:v>-6.859613778192708E-2</c:v>
                </c:pt>
                <c:pt idx="9">
                  <c:v>-3.8927335640138394E-2</c:v>
                </c:pt>
                <c:pt idx="10">
                  <c:v>-7.1912267034213162E-4</c:v>
                </c:pt>
                <c:pt idx="11">
                  <c:v>-0.10861865407319959</c:v>
                </c:pt>
                <c:pt idx="12">
                  <c:v>-8.6218601493550651E-2</c:v>
                </c:pt>
                <c:pt idx="13">
                  <c:v>-5.9505572076537283E-2</c:v>
                </c:pt>
                <c:pt idx="14">
                  <c:v>-6.5189328743545771E-2</c:v>
                </c:pt>
                <c:pt idx="15">
                  <c:v>-5.4563329510076919E-2</c:v>
                </c:pt>
                <c:pt idx="16">
                  <c:v>-4.044966375589687E-2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70-4F42-B870-5FB7DE4AF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4248"/>
        <c:axId val="363523856"/>
      </c:lineChart>
      <c:catAx>
        <c:axId val="37203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23464"/>
        <c:crosses val="autoZero"/>
        <c:auto val="1"/>
        <c:lblAlgn val="ctr"/>
        <c:lblOffset val="100"/>
        <c:noMultiLvlLbl val="0"/>
      </c:catAx>
      <c:valAx>
        <c:axId val="36352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rgbClr val="C00000"/>
                    </a:solidFill>
                  </a:rPr>
                  <a:t>Harvested Acres (Million Acres)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030776"/>
        <c:crosses val="autoZero"/>
        <c:crossBetween val="between"/>
      </c:valAx>
      <c:valAx>
        <c:axId val="363523856"/>
        <c:scaling>
          <c:orientation val="minMax"/>
          <c:max val="1.8"/>
          <c:min val="-0.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24248"/>
        <c:crosses val="max"/>
        <c:crossBetween val="between"/>
        <c:majorUnit val="0.2"/>
      </c:valAx>
      <c:catAx>
        <c:axId val="363524248"/>
        <c:scaling>
          <c:orientation val="minMax"/>
        </c:scaling>
        <c:delete val="1"/>
        <c:axPos val="b"/>
        <c:majorTickMark val="out"/>
        <c:minorTickMark val="none"/>
        <c:tickLblPos val="nextTo"/>
        <c:crossAx val="363523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1492954041337177E-3"/>
          <c:y val="0.88770687345296262"/>
          <c:w val="0.9895996627984146"/>
          <c:h val="9.3317794478726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Kansas Wheat Yield Forecast Accuracy</a:t>
            </a:r>
          </a:p>
          <a:p>
            <a:pPr>
              <a:defRPr/>
            </a:pPr>
            <a:r>
              <a:rPr lang="en-US" sz="1600" b="1"/>
              <a:t>by</a:t>
            </a:r>
            <a:r>
              <a:rPr lang="en-US" sz="1600" b="1" baseline="0"/>
              <a:t> the Annual Spring Kansas Wheat Tour</a:t>
            </a:r>
            <a:r>
              <a:rPr lang="en-US" sz="1600" b="1"/>
              <a:t> </a:t>
            </a:r>
          </a:p>
          <a:p>
            <a:pPr>
              <a:defRPr/>
            </a:pPr>
            <a:r>
              <a:rPr lang="en-US"/>
              <a:t>Year 2000-2016 Final Results with 2017</a:t>
            </a:r>
            <a:r>
              <a:rPr lang="en-US" baseline="0"/>
              <a:t> Forecast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6"/>
          <c:tx>
            <c:strRef>
              <c:f>'KS Wheat Tour_Kansas'!$AF$59</c:f>
              <c:strCache>
                <c:ptCount val="1"/>
                <c:pt idx="0">
                  <c:v>USDA KS Wheat Final Yield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6350">
                <a:solidFill>
                  <a:srgbClr val="C00000"/>
                </a:solidFill>
              </a:ln>
              <a:effectLst/>
            </c:spPr>
          </c:marker>
          <c:cat>
            <c:numRef>
              <c:f>'KS Wheat Tour_Kansas'!$AD$60:$AD$77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Tour_Kansas'!$AF$60:$AF$77</c:f>
              <c:numCache>
                <c:formatCode>#,##0.0</c:formatCode>
                <c:ptCount val="18"/>
                <c:pt idx="0">
                  <c:v>37</c:v>
                </c:pt>
                <c:pt idx="1">
                  <c:v>40</c:v>
                </c:pt>
                <c:pt idx="2">
                  <c:v>33</c:v>
                </c:pt>
                <c:pt idx="3">
                  <c:v>48</c:v>
                </c:pt>
                <c:pt idx="4">
                  <c:v>37</c:v>
                </c:pt>
                <c:pt idx="5">
                  <c:v>40</c:v>
                </c:pt>
                <c:pt idx="6">
                  <c:v>32</c:v>
                </c:pt>
                <c:pt idx="7">
                  <c:v>33</c:v>
                </c:pt>
                <c:pt idx="8">
                  <c:v>40</c:v>
                </c:pt>
                <c:pt idx="9">
                  <c:v>42</c:v>
                </c:pt>
                <c:pt idx="10">
                  <c:v>45</c:v>
                </c:pt>
                <c:pt idx="11">
                  <c:v>35</c:v>
                </c:pt>
                <c:pt idx="12">
                  <c:v>42</c:v>
                </c:pt>
                <c:pt idx="13">
                  <c:v>38</c:v>
                </c:pt>
                <c:pt idx="14">
                  <c:v>28</c:v>
                </c:pt>
                <c:pt idx="15">
                  <c:v>37</c:v>
                </c:pt>
                <c:pt idx="16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7-4B79-9C6C-AAA9255B849F}"/>
            </c:ext>
          </c:extLst>
        </c:ser>
        <c:ser>
          <c:idx val="16"/>
          <c:order val="16"/>
          <c:tx>
            <c:strRef>
              <c:f>'KS Wheat Tour_Kansas'!$AE$59</c:f>
              <c:strCache>
                <c:ptCount val="1"/>
                <c:pt idx="0">
                  <c:v>KWT KS Wheat Yield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70C0"/>
              </a:solidFill>
              <a:ln w="6350">
                <a:solidFill>
                  <a:srgbClr val="0070C0"/>
                </a:solidFill>
              </a:ln>
              <a:effectLst/>
            </c:spPr>
          </c:marker>
          <c:cat>
            <c:numRef>
              <c:f>'KS Wheat Tour_Kansas'!$AD$60:$AD$77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Tour_Kansas'!$AE$60:$AE$77</c:f>
              <c:numCache>
                <c:formatCode>#,##0.0</c:formatCode>
                <c:ptCount val="18"/>
                <c:pt idx="0">
                  <c:v>41.4</c:v>
                </c:pt>
                <c:pt idx="1">
                  <c:v>32.700000000000003</c:v>
                </c:pt>
                <c:pt idx="2">
                  <c:v>35.6</c:v>
                </c:pt>
                <c:pt idx="3">
                  <c:v>38.799999999999997</c:v>
                </c:pt>
                <c:pt idx="4">
                  <c:v>37.4</c:v>
                </c:pt>
                <c:pt idx="5">
                  <c:v>46.2</c:v>
                </c:pt>
                <c:pt idx="6">
                  <c:v>37.299999999999997</c:v>
                </c:pt>
                <c:pt idx="7">
                  <c:v>41</c:v>
                </c:pt>
                <c:pt idx="8">
                  <c:v>43.3</c:v>
                </c:pt>
                <c:pt idx="9">
                  <c:v>40.799999999999997</c:v>
                </c:pt>
                <c:pt idx="10">
                  <c:v>40.700000000000003</c:v>
                </c:pt>
                <c:pt idx="11">
                  <c:v>37.4</c:v>
                </c:pt>
                <c:pt idx="12">
                  <c:v>49.1</c:v>
                </c:pt>
                <c:pt idx="13">
                  <c:v>41.1</c:v>
                </c:pt>
                <c:pt idx="14">
                  <c:v>33.200000000000003</c:v>
                </c:pt>
                <c:pt idx="15">
                  <c:v>35.9</c:v>
                </c:pt>
                <c:pt idx="16">
                  <c:v>48.6</c:v>
                </c:pt>
                <c:pt idx="17">
                  <c:v>46.1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7-4B79-9C6C-AAA9255B8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5032"/>
        <c:axId val="4346586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'KS Wheat Tour_Kansas'!$L$60:$O$60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9.2367149758454108</c:v>
                      </c:pt>
                      <c:pt idx="1">
                        <c:v>9.4</c:v>
                      </c:pt>
                      <c:pt idx="3" formatCode="0.0%">
                        <c:v>3.9907582440663614E-3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E-D747-4B79-9C6C-AAA9255B849F}"/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Tour_Kansas'!$L$61:$O$61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8.4892966360856263</c:v>
                      </c:pt>
                      <c:pt idx="1">
                        <c:v>8.1999999999999993</c:v>
                      </c:pt>
                      <c:pt idx="3" formatCode="0.0%">
                        <c:v>1.0630551914955433E-2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747-4B79-9C6C-AAA9255B849F}"/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Tour_Kansas'!$L$62:$O$62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8.3426966292134832</c:v>
                      </c:pt>
                      <c:pt idx="1">
                        <c:v>8.1999999999999993</c:v>
                      </c:pt>
                      <c:pt idx="3" formatCode="0.0%">
                        <c:v>4.2837078651685401E-2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747-4B79-9C6C-AAA9255B849F}"/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Tour_Kansas'!$L$63:$O$63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9.3814432989690726</c:v>
                      </c:pt>
                      <c:pt idx="1">
                        <c:v>10</c:v>
                      </c:pt>
                      <c:pt idx="3" formatCode="0.0%">
                        <c:v>-3.2840897013497572E-2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747-4B79-9C6C-AAA9255B849F}"/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Tour_Kansas'!$L$64:$O$64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9.4919786096256686</c:v>
                      </c:pt>
                      <c:pt idx="1">
                        <c:v>8.5</c:v>
                      </c:pt>
                      <c:pt idx="3" formatCode="0.0%">
                        <c:v>5.4664289958407775E-2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747-4B79-9C6C-AAA9255B849F}"/>
                  </c:ext>
                </c:extLst>
              </c15:ser>
            </c15:filteredLineSeries>
            <c15:filteredLineSeries>
              <c15:ser>
                <c:idx val="6"/>
                <c:order val="5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Tour_Kansas'!$L$65:$O$65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9.0857142857142854</c:v>
                      </c:pt>
                      <c:pt idx="1">
                        <c:v>9.5</c:v>
                      </c:pt>
                      <c:pt idx="3" formatCode="0.0%">
                        <c:v>-5.3571428571428603E-2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747-4B79-9C6C-AAA9255B849F}"/>
                  </c:ext>
                </c:extLst>
              </c15:ser>
            </c15:filteredLineSeries>
            <c15:filteredLineSeries>
              <c15:ser>
                <c:idx val="8"/>
                <c:order val="7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Tour_Kansas'!$L$67:$O$67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9.5780487804878049</c:v>
                      </c:pt>
                      <c:pt idx="1">
                        <c:v>8.6</c:v>
                      </c:pt>
                      <c:pt idx="3" formatCode="0.0%">
                        <c:v>8.2156611039796434E-3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747-4B79-9C6C-AAA9255B849F}"/>
                  </c:ext>
                </c:extLst>
              </c15:ser>
            </c15:filteredLineSeries>
            <c15:filteredLineSeries>
              <c15:ser>
                <c:idx val="9"/>
                <c:order val="8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Tour_Kansas'!$L$68:$O$68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8.7551963048498855</c:v>
                      </c:pt>
                      <c:pt idx="1">
                        <c:v>9</c:v>
                      </c:pt>
                      <c:pt idx="3" formatCode="0.0%">
                        <c:v>-6.859613778192708E-2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747-4B79-9C6C-AAA9255B849F}"/>
                  </c:ext>
                </c:extLst>
              </c15:ser>
            </c15:filteredLineSeries>
            <c15:filteredLineSeries>
              <c15:ser>
                <c:idx val="10"/>
                <c:order val="9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Tour_Kansas'!$L$69:$O$69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8.1691176470588243</c:v>
                      </c:pt>
                      <c:pt idx="1">
                        <c:v>8.9499999999999993</c:v>
                      </c:pt>
                      <c:pt idx="3" formatCode="0.0%">
                        <c:v>-3.8927335640138394E-2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747-4B79-9C6C-AAA9255B849F}"/>
                  </c:ext>
                </c:extLst>
              </c15:ser>
            </c15:filteredLineSeries>
            <c15:filteredLineSeries>
              <c15:ser>
                <c:idx val="11"/>
                <c:order val="10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Tour_Kansas'!$L$70:$O$70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8.1941031941031941</c:v>
                      </c:pt>
                      <c:pt idx="1">
                        <c:v>8</c:v>
                      </c:pt>
                      <c:pt idx="3" formatCode="0.0%">
                        <c:v>-7.1912267034213162E-4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747-4B79-9C6C-AAA9255B849F}"/>
                  </c:ext>
                </c:extLst>
              </c15:ser>
            </c15:filteredLineSeries>
            <c15:filteredLineSeries>
              <c15:ser>
                <c:idx val="12"/>
                <c:order val="11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Tour_Kansas'!$L$71:$O$71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6.8636363636363633</c:v>
                      </c:pt>
                      <c:pt idx="1">
                        <c:v>7.95</c:v>
                      </c:pt>
                      <c:pt idx="3" formatCode="0.0%">
                        <c:v>-0.10861865407319959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747-4B79-9C6C-AAA9255B849F}"/>
                  </c:ext>
                </c:extLst>
              </c15:ser>
            </c15:filteredLineSeries>
            <c15:filteredLineSeries>
              <c15:ser>
                <c:idx val="13"/>
                <c:order val="12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Tour_Kansas'!$L$72:$O$72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8.2240325865580441</c:v>
                      </c:pt>
                      <c:pt idx="1">
                        <c:v>9.1</c:v>
                      </c:pt>
                      <c:pt idx="3" formatCode="0.0%">
                        <c:v>-8.6218601493550651E-2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747-4B79-9C6C-AAA9255B849F}"/>
                  </c:ext>
                </c:extLst>
              </c15:ser>
            </c15:filteredLineSeries>
            <c15:filteredLineSeries>
              <c15:ser>
                <c:idx val="14"/>
                <c:order val="13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Tour_Kansas'!$L$73:$O$73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7.6180048661800486</c:v>
                      </c:pt>
                      <c:pt idx="1">
                        <c:v>8.4499999999999993</c:v>
                      </c:pt>
                      <c:pt idx="3" formatCode="0.0%">
                        <c:v>-5.9505572076537283E-2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747-4B79-9C6C-AAA9255B849F}"/>
                  </c:ext>
                </c:extLst>
              </c15:ser>
            </c15:filteredLineSeries>
            <c15:filteredLineSeries>
              <c15:ser>
                <c:idx val="15"/>
                <c:order val="14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Tour_Kansas'!$L$74:$O$74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7.8524096385542155</c:v>
                      </c:pt>
                      <c:pt idx="1">
                        <c:v>8.8000000000000007</c:v>
                      </c:pt>
                      <c:pt idx="3" formatCode="0.0%">
                        <c:v>-6.5189328743545771E-2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747-4B79-9C6C-AAA9255B849F}"/>
                  </c:ext>
                </c:extLst>
              </c15:ser>
            </c15:filteredLineSeries>
            <c15:filteredLineSeries>
              <c15:ser>
                <c:idx val="0"/>
                <c:order val="15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Tour_Kansas'!$AD$60:$AD$77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Tour_Kansas'!$L$75:$O$75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8.0362116991643457</c:v>
                      </c:pt>
                      <c:pt idx="1">
                        <c:v>8.6999999999999993</c:v>
                      </c:pt>
                      <c:pt idx="3" formatCode="0.0%">
                        <c:v>-5.4563329510076919E-2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747-4B79-9C6C-AAA9255B849F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7"/>
          <c:order val="17"/>
          <c:tx>
            <c:strRef>
              <c:f>'KS Wheat Tour_Kansas'!$AG$59</c:f>
              <c:strCache>
                <c:ptCount val="1"/>
                <c:pt idx="0">
                  <c:v>KWT % Forecast Error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47-4B79-9C6C-AAA9255B849F}"/>
                </c:ext>
              </c:extLst>
            </c:dLbl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47-4B79-9C6C-AAA9255B849F}"/>
                </c:ext>
              </c:extLst>
            </c:dLbl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47-4B79-9C6C-AAA9255B849F}"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47-4B79-9C6C-AAA9255B849F}"/>
                </c:ext>
              </c:extLst>
            </c:dLbl>
            <c:dLbl>
              <c:idx val="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747-4B79-9C6C-AAA9255B849F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747-4B79-9C6C-AAA9255B849F}"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747-4B79-9C6C-AAA9255B849F}"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747-4B79-9C6C-AAA9255B849F}"/>
                </c:ext>
              </c:extLst>
            </c:dLbl>
            <c:dLbl>
              <c:idx val="1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747-4B79-9C6C-AAA9255B849F}"/>
                </c:ext>
              </c:extLst>
            </c:dLbl>
            <c:dLbl>
              <c:idx val="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747-4B79-9C6C-AAA9255B849F}"/>
                </c:ext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747-4B79-9C6C-AAA9255B84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'KS Wheat Tour_Kansas'!$AG$60:$AG$77</c:f>
              <c:numCache>
                <c:formatCode>0.0%</c:formatCode>
                <c:ptCount val="18"/>
                <c:pt idx="0">
                  <c:v>-5.9090909090909083E-2</c:v>
                </c:pt>
                <c:pt idx="1">
                  <c:v>-3.8235294117646923E-2</c:v>
                </c:pt>
                <c:pt idx="2">
                  <c:v>-3.7837837837837784E-2</c:v>
                </c:pt>
                <c:pt idx="3">
                  <c:v>-3.0000000000000027E-2</c:v>
                </c:pt>
                <c:pt idx="4">
                  <c:v>-8.7804878048780566E-2</c:v>
                </c:pt>
                <c:pt idx="5">
                  <c:v>5.0000000000000044E-2</c:v>
                </c:pt>
                <c:pt idx="6">
                  <c:v>9.7058823529411642E-2</c:v>
                </c:pt>
                <c:pt idx="7">
                  <c:v>7.8947368421052655E-2</c:v>
                </c:pt>
                <c:pt idx="8">
                  <c:v>0.13947368421052619</c:v>
                </c:pt>
                <c:pt idx="9">
                  <c:v>2.0000000000000018E-2</c:v>
                </c:pt>
                <c:pt idx="10">
                  <c:v>-3.0952380952380842E-2</c:v>
                </c:pt>
                <c:pt idx="11">
                  <c:v>9.9999999999999867E-2</c:v>
                </c:pt>
                <c:pt idx="12">
                  <c:v>0.14186046511627914</c:v>
                </c:pt>
                <c:pt idx="13">
                  <c:v>0.11081081081081079</c:v>
                </c:pt>
                <c:pt idx="14">
                  <c:v>7.0967741935483941E-2</c:v>
                </c:pt>
                <c:pt idx="15">
                  <c:v>0.12187499999999996</c:v>
                </c:pt>
                <c:pt idx="16">
                  <c:v>0.13023255813953494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747-4B79-9C6C-AAA9255B8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59400"/>
        <c:axId val="434659008"/>
      </c:lineChart>
      <c:catAx>
        <c:axId val="36352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58616"/>
        <c:crosses val="autoZero"/>
        <c:auto val="1"/>
        <c:lblAlgn val="ctr"/>
        <c:lblOffset val="100"/>
        <c:noMultiLvlLbl val="0"/>
      </c:catAx>
      <c:valAx>
        <c:axId val="43465861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rgbClr val="C00000"/>
                    </a:solidFill>
                  </a:rPr>
                  <a:t>KS Wheat Yield (Bushels / Acre)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25032"/>
        <c:crosses val="autoZero"/>
        <c:crossBetween val="between"/>
      </c:valAx>
      <c:valAx>
        <c:axId val="434659008"/>
        <c:scaling>
          <c:orientation val="minMax"/>
          <c:max val="1.8"/>
          <c:min val="-0.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accent4">
                        <a:lumMod val="50000"/>
                      </a:schemeClr>
                    </a:solidFill>
                  </a:rPr>
                  <a:t>% Forecast Error</a:t>
                </a:r>
              </a:p>
            </c:rich>
          </c:tx>
          <c:layout>
            <c:manualLayout>
              <c:xMode val="edge"/>
              <c:yMode val="edge"/>
              <c:x val="0.95396981627296584"/>
              <c:y val="0.410569175577943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accent4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59400"/>
        <c:crosses val="max"/>
        <c:crossBetween val="between"/>
        <c:majorUnit val="0.2"/>
      </c:valAx>
      <c:catAx>
        <c:axId val="434659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3465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Kansas Wheat Production Forecast Accuracy</a:t>
            </a:r>
          </a:p>
          <a:p>
            <a:pPr>
              <a:defRPr/>
            </a:pPr>
            <a:r>
              <a:rPr lang="en-US" sz="1600" b="1"/>
              <a:t>by</a:t>
            </a:r>
            <a:r>
              <a:rPr lang="en-US" sz="1600" b="1" baseline="0"/>
              <a:t> the Yearly Spring Kansas Wheat Tour</a:t>
            </a:r>
            <a:r>
              <a:rPr lang="en-US" sz="1600" b="1"/>
              <a:t> </a:t>
            </a:r>
          </a:p>
          <a:p>
            <a:pPr>
              <a:defRPr/>
            </a:pPr>
            <a:r>
              <a:rPr lang="en-US"/>
              <a:t>Year 2000-2016 Final Results with 2017</a:t>
            </a:r>
            <a:r>
              <a:rPr lang="en-US" baseline="0"/>
              <a:t> Forecast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6"/>
          <c:tx>
            <c:strRef>
              <c:f>'KS Wheat Tour_Kansas'!$AU$59</c:f>
              <c:strCache>
                <c:ptCount val="1"/>
                <c:pt idx="0">
                  <c:v>USDA KS Final Wheat Production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6350">
                <a:solidFill>
                  <a:srgbClr val="C00000"/>
                </a:solidFill>
              </a:ln>
              <a:effectLst/>
            </c:spPr>
          </c:marker>
          <c:cat>
            <c:numRef>
              <c:f>'KS Wheat Tour_Kansas'!$AS$60:$AS$77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Tour_Kansas'!$AU$60:$AU$77</c:f>
              <c:numCache>
                <c:formatCode>#,##0.0</c:formatCode>
                <c:ptCount val="18"/>
                <c:pt idx="0">
                  <c:v>347.8</c:v>
                </c:pt>
                <c:pt idx="1">
                  <c:v>328</c:v>
                </c:pt>
                <c:pt idx="2">
                  <c:v>270.60000000000002</c:v>
                </c:pt>
                <c:pt idx="3">
                  <c:v>480</c:v>
                </c:pt>
                <c:pt idx="4">
                  <c:v>314.5</c:v>
                </c:pt>
                <c:pt idx="5">
                  <c:v>380</c:v>
                </c:pt>
                <c:pt idx="6">
                  <c:v>291.2</c:v>
                </c:pt>
                <c:pt idx="7">
                  <c:v>283.8</c:v>
                </c:pt>
                <c:pt idx="8">
                  <c:v>360</c:v>
                </c:pt>
                <c:pt idx="9">
                  <c:v>375.9</c:v>
                </c:pt>
                <c:pt idx="10">
                  <c:v>360</c:v>
                </c:pt>
                <c:pt idx="11">
                  <c:v>278.25</c:v>
                </c:pt>
                <c:pt idx="12">
                  <c:v>382.2</c:v>
                </c:pt>
                <c:pt idx="13">
                  <c:v>321.10000000000002</c:v>
                </c:pt>
                <c:pt idx="14">
                  <c:v>246.4</c:v>
                </c:pt>
                <c:pt idx="15">
                  <c:v>321.89999999999998</c:v>
                </c:pt>
                <c:pt idx="16">
                  <c:v>467.4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5-4AF5-951C-2280E6C754CD}"/>
            </c:ext>
          </c:extLst>
        </c:ser>
        <c:ser>
          <c:idx val="16"/>
          <c:order val="16"/>
          <c:tx>
            <c:strRef>
              <c:f>'KS Wheat Tour_Kansas'!$AT$59</c:f>
              <c:strCache>
                <c:ptCount val="1"/>
                <c:pt idx="0">
                  <c:v>KWT KS Wheat Production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70C0"/>
              </a:solidFill>
              <a:ln w="6350">
                <a:solidFill>
                  <a:srgbClr val="0070C0"/>
                </a:solidFill>
              </a:ln>
              <a:effectLst/>
            </c:spPr>
          </c:marker>
          <c:cat>
            <c:numRef>
              <c:f>'KS Wheat Tour_Kansas'!$AS$60:$AS$77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Tour_Kansas'!$AT$60:$AT$77</c:f>
              <c:numCache>
                <c:formatCode>#,##0.0</c:formatCode>
                <c:ptCount val="18"/>
                <c:pt idx="0">
                  <c:v>382.4</c:v>
                </c:pt>
                <c:pt idx="1">
                  <c:v>277.60000000000002</c:v>
                </c:pt>
                <c:pt idx="2">
                  <c:v>297</c:v>
                </c:pt>
                <c:pt idx="3">
                  <c:v>364</c:v>
                </c:pt>
                <c:pt idx="4">
                  <c:v>355</c:v>
                </c:pt>
                <c:pt idx="5">
                  <c:v>419.76</c:v>
                </c:pt>
                <c:pt idx="6">
                  <c:v>319.22000000000003</c:v>
                </c:pt>
                <c:pt idx="7">
                  <c:v>392.7</c:v>
                </c:pt>
                <c:pt idx="8">
                  <c:v>379.1</c:v>
                </c:pt>
                <c:pt idx="9">
                  <c:v>333.3</c:v>
                </c:pt>
                <c:pt idx="10">
                  <c:v>333.5</c:v>
                </c:pt>
                <c:pt idx="11">
                  <c:v>256.7</c:v>
                </c:pt>
                <c:pt idx="12">
                  <c:v>403.8</c:v>
                </c:pt>
                <c:pt idx="13">
                  <c:v>313.10000000000002</c:v>
                </c:pt>
                <c:pt idx="14">
                  <c:v>260.7</c:v>
                </c:pt>
                <c:pt idx="15">
                  <c:v>288.5</c:v>
                </c:pt>
                <c:pt idx="16">
                  <c:v>382.4</c:v>
                </c:pt>
                <c:pt idx="17">
                  <c:v>281.7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5-4AF5-951C-2280E6C7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60184"/>
        <c:axId val="43473782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'KS Wheat Tour_Kansas'!$L$60:$O$60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9.2367149758454108</c:v>
                      </c:pt>
                      <c:pt idx="1">
                        <c:v>9.4</c:v>
                      </c:pt>
                      <c:pt idx="3" formatCode="0.0%">
                        <c:v>3.9907582440663614E-3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9695-4AF5-951C-2280E6C754CD}"/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Tour_Kansas'!$L$61:$O$61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8.4892966360856263</c:v>
                      </c:pt>
                      <c:pt idx="1">
                        <c:v>8.1999999999999993</c:v>
                      </c:pt>
                      <c:pt idx="3" formatCode="0.0%">
                        <c:v>1.0630551914955433E-2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695-4AF5-951C-2280E6C754CD}"/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Tour_Kansas'!$L$62:$O$62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8.3426966292134832</c:v>
                      </c:pt>
                      <c:pt idx="1">
                        <c:v>8.1999999999999993</c:v>
                      </c:pt>
                      <c:pt idx="3" formatCode="0.0%">
                        <c:v>4.2837078651685401E-2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695-4AF5-951C-2280E6C754CD}"/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Tour_Kansas'!$L$63:$O$63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9.3814432989690726</c:v>
                      </c:pt>
                      <c:pt idx="1">
                        <c:v>10</c:v>
                      </c:pt>
                      <c:pt idx="3" formatCode="0.0%">
                        <c:v>-3.2840897013497572E-2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695-4AF5-951C-2280E6C754CD}"/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Tour_Kansas'!$L$64:$O$64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9.4919786096256686</c:v>
                      </c:pt>
                      <c:pt idx="1">
                        <c:v>8.5</c:v>
                      </c:pt>
                      <c:pt idx="3" formatCode="0.0%">
                        <c:v>5.4664289958407775E-2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695-4AF5-951C-2280E6C754CD}"/>
                  </c:ext>
                </c:extLst>
              </c15:ser>
            </c15:filteredLineSeries>
            <c15:filteredLineSeries>
              <c15:ser>
                <c:idx val="6"/>
                <c:order val="5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Tour_Kansas'!$L$65:$O$65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9.0857142857142854</c:v>
                      </c:pt>
                      <c:pt idx="1">
                        <c:v>9.5</c:v>
                      </c:pt>
                      <c:pt idx="3" formatCode="0.0%">
                        <c:v>-5.3571428571428603E-2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695-4AF5-951C-2280E6C754CD}"/>
                  </c:ext>
                </c:extLst>
              </c15:ser>
            </c15:filteredLineSeries>
            <c15:filteredLineSeries>
              <c15:ser>
                <c:idx val="8"/>
                <c:order val="7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Tour_Kansas'!$L$67:$O$67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9.5780487804878049</c:v>
                      </c:pt>
                      <c:pt idx="1">
                        <c:v>8.6</c:v>
                      </c:pt>
                      <c:pt idx="3" formatCode="0.0%">
                        <c:v>8.2156611039796434E-3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695-4AF5-951C-2280E6C754CD}"/>
                  </c:ext>
                </c:extLst>
              </c15:ser>
            </c15:filteredLineSeries>
            <c15:filteredLineSeries>
              <c15:ser>
                <c:idx val="9"/>
                <c:order val="8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Tour_Kansas'!$L$68:$O$68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8.7551963048498855</c:v>
                      </c:pt>
                      <c:pt idx="1">
                        <c:v>9</c:v>
                      </c:pt>
                      <c:pt idx="3" formatCode="0.0%">
                        <c:v>-6.859613778192708E-2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695-4AF5-951C-2280E6C754CD}"/>
                  </c:ext>
                </c:extLst>
              </c15:ser>
            </c15:filteredLineSeries>
            <c15:filteredLineSeries>
              <c15:ser>
                <c:idx val="10"/>
                <c:order val="9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Tour_Kansas'!$L$69:$O$69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8.1691176470588243</c:v>
                      </c:pt>
                      <c:pt idx="1">
                        <c:v>8.9499999999999993</c:v>
                      </c:pt>
                      <c:pt idx="3" formatCode="0.0%">
                        <c:v>-3.8927335640138394E-2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695-4AF5-951C-2280E6C754CD}"/>
                  </c:ext>
                </c:extLst>
              </c15:ser>
            </c15:filteredLineSeries>
            <c15:filteredLineSeries>
              <c15:ser>
                <c:idx val="11"/>
                <c:order val="10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Tour_Kansas'!$L$70:$O$70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8.1941031941031941</c:v>
                      </c:pt>
                      <c:pt idx="1">
                        <c:v>8</c:v>
                      </c:pt>
                      <c:pt idx="3" formatCode="0.0%">
                        <c:v>-7.1912267034213162E-4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695-4AF5-951C-2280E6C754CD}"/>
                  </c:ext>
                </c:extLst>
              </c15:ser>
            </c15:filteredLineSeries>
            <c15:filteredLineSeries>
              <c15:ser>
                <c:idx val="12"/>
                <c:order val="11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Tour_Kansas'!$L$71:$O$71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6.8636363636363633</c:v>
                      </c:pt>
                      <c:pt idx="1">
                        <c:v>7.95</c:v>
                      </c:pt>
                      <c:pt idx="3" formatCode="0.0%">
                        <c:v>-0.10861865407319959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9695-4AF5-951C-2280E6C754CD}"/>
                  </c:ext>
                </c:extLst>
              </c15:ser>
            </c15:filteredLineSeries>
            <c15:filteredLineSeries>
              <c15:ser>
                <c:idx val="13"/>
                <c:order val="12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Tour_Kansas'!$L$72:$O$72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8.2240325865580441</c:v>
                      </c:pt>
                      <c:pt idx="1">
                        <c:v>9.1</c:v>
                      </c:pt>
                      <c:pt idx="3" formatCode="0.0%">
                        <c:v>-8.6218601493550651E-2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9695-4AF5-951C-2280E6C754CD}"/>
                  </c:ext>
                </c:extLst>
              </c15:ser>
            </c15:filteredLineSeries>
            <c15:filteredLineSeries>
              <c15:ser>
                <c:idx val="14"/>
                <c:order val="13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Tour_Kansas'!$L$73:$O$73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7.6180048661800486</c:v>
                      </c:pt>
                      <c:pt idx="1">
                        <c:v>8.4499999999999993</c:v>
                      </c:pt>
                      <c:pt idx="3" formatCode="0.0%">
                        <c:v>-5.9505572076537283E-2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9695-4AF5-951C-2280E6C754CD}"/>
                  </c:ext>
                </c:extLst>
              </c15:ser>
            </c15:filteredLineSeries>
            <c15:filteredLineSeries>
              <c15:ser>
                <c:idx val="15"/>
                <c:order val="14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Tour_Kansas'!$L$74:$O$74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7.8524096385542155</c:v>
                      </c:pt>
                      <c:pt idx="1">
                        <c:v>8.8000000000000007</c:v>
                      </c:pt>
                      <c:pt idx="3" formatCode="0.0%">
                        <c:v>-6.5189328743545771E-2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9695-4AF5-951C-2280E6C754CD}"/>
                  </c:ext>
                </c:extLst>
              </c15:ser>
            </c15:filteredLineSeries>
            <c15:filteredLineSeries>
              <c15:ser>
                <c:idx val="0"/>
                <c:order val="15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Tour_Kansas'!$AS$60:$AS$77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Tour_Kansas'!$L$75:$O$75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8.0362116991643457</c:v>
                      </c:pt>
                      <c:pt idx="1">
                        <c:v>8.6999999999999993</c:v>
                      </c:pt>
                      <c:pt idx="3" formatCode="0.0%">
                        <c:v>-5.4563329510076919E-2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9695-4AF5-951C-2280E6C754C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7"/>
          <c:order val="17"/>
          <c:tx>
            <c:strRef>
              <c:f>'KS Wheat Tour_Kansas'!$AV$59</c:f>
              <c:strCache>
                <c:ptCount val="1"/>
                <c:pt idx="0">
                  <c:v>KWT % Forecast Error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95-4AF5-951C-2280E6C754CD}"/>
                </c:ext>
              </c:extLst>
            </c:dLbl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95-4AF5-951C-2280E6C754CD}"/>
                </c:ext>
              </c:extLst>
            </c:dLbl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95-4AF5-951C-2280E6C754CD}"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95-4AF5-951C-2280E6C754CD}"/>
                </c:ext>
              </c:extLst>
            </c:dLbl>
            <c:dLbl>
              <c:idx val="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695-4AF5-951C-2280E6C754CD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95-4AF5-951C-2280E6C754CD}"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695-4AF5-951C-2280E6C754CD}"/>
                </c:ext>
              </c:extLst>
            </c:dLbl>
            <c:dLbl>
              <c:idx val="1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695-4AF5-951C-2280E6C754CD}"/>
                </c:ext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695-4AF5-951C-2280E6C754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'KS Wheat Tour_Kansas'!$AV$60:$AV$77</c:f>
              <c:numCache>
                <c:formatCode>0.0%</c:formatCode>
                <c:ptCount val="18"/>
                <c:pt idx="0">
                  <c:v>-5.5335968379446765E-2</c:v>
                </c:pt>
                <c:pt idx="1">
                  <c:v>-2.8011204481792729E-2</c:v>
                </c:pt>
                <c:pt idx="2">
                  <c:v>3.3783783783782884E-3</c:v>
                </c:pt>
                <c:pt idx="3">
                  <c:v>-6.1855670103092786E-2</c:v>
                </c:pt>
                <c:pt idx="4">
                  <c:v>-3.7940379403794022E-2</c:v>
                </c:pt>
                <c:pt idx="5">
                  <c:v>-6.2499999999999778E-3</c:v>
                </c:pt>
                <c:pt idx="6">
                  <c:v>-1.1889862327909562E-3</c:v>
                </c:pt>
                <c:pt idx="7">
                  <c:v>8.7811634349030498E-2</c:v>
                </c:pt>
                <c:pt idx="8">
                  <c:v>6.1310190369540996E-2</c:v>
                </c:pt>
                <c:pt idx="9">
                  <c:v>-1.9705882352941129E-2</c:v>
                </c:pt>
                <c:pt idx="10">
                  <c:v>-3.1649245063879117E-2</c:v>
                </c:pt>
                <c:pt idx="11">
                  <c:v>-1.9480519480519543E-2</c:v>
                </c:pt>
                <c:pt idx="12">
                  <c:v>4.3410852713178238E-2</c:v>
                </c:pt>
                <c:pt idx="13">
                  <c:v>4.4711378044711481E-2</c:v>
                </c:pt>
                <c:pt idx="14">
                  <c:v>1.1520737327188613E-3</c:v>
                </c:pt>
                <c:pt idx="15">
                  <c:v>6.0661764705882248E-2</c:v>
                </c:pt>
                <c:pt idx="16">
                  <c:v>8.4515031196823465E-2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695-4AF5-951C-2280E6C7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38608"/>
        <c:axId val="434738216"/>
      </c:lineChart>
      <c:catAx>
        <c:axId val="43466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37824"/>
        <c:crosses val="autoZero"/>
        <c:auto val="1"/>
        <c:lblAlgn val="ctr"/>
        <c:lblOffset val="100"/>
        <c:noMultiLvlLbl val="0"/>
      </c:catAx>
      <c:valAx>
        <c:axId val="43473782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KS Wheat Production (Million Bushels)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60184"/>
        <c:crosses val="autoZero"/>
        <c:crossBetween val="between"/>
      </c:valAx>
      <c:valAx>
        <c:axId val="434738216"/>
        <c:scaling>
          <c:orientation val="minMax"/>
          <c:max val="1.8"/>
          <c:min val="-0.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38608"/>
        <c:crosses val="max"/>
        <c:crossBetween val="between"/>
        <c:majorUnit val="0.2"/>
      </c:valAx>
      <c:catAx>
        <c:axId val="434738608"/>
        <c:scaling>
          <c:orientation val="minMax"/>
        </c:scaling>
        <c:delete val="1"/>
        <c:axPos val="b"/>
        <c:majorTickMark val="out"/>
        <c:minorTickMark val="none"/>
        <c:tickLblPos val="nextTo"/>
        <c:crossAx val="434738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1581046301251302E-3"/>
          <c:y val="0.8560813200057773"/>
          <c:w val="0.9917290981831155"/>
          <c:h val="0.12494334792591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Kansas Wheat Harvested Acres Forecast Accuracy</a:t>
            </a:r>
          </a:p>
          <a:p>
            <a:pPr>
              <a:defRPr/>
            </a:pPr>
            <a:r>
              <a:rPr lang="en-US" sz="1600" b="1"/>
              <a:t>by</a:t>
            </a:r>
            <a:r>
              <a:rPr lang="en-US" sz="1600" b="1" baseline="0"/>
              <a:t> the USDA May Crop Production Report</a:t>
            </a:r>
            <a:endParaRPr lang="en-US" sz="1600" b="1"/>
          </a:p>
          <a:p>
            <a:pPr>
              <a:defRPr/>
            </a:pPr>
            <a:r>
              <a:rPr lang="en-US"/>
              <a:t>Year 2000-2016 Final Results with Implicit 2017</a:t>
            </a:r>
            <a:r>
              <a:rPr lang="en-US" baseline="0"/>
              <a:t> Forecast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6"/>
          <c:tx>
            <c:strRef>
              <c:f>'KS Wheat Tour_Kansas'!$L$79</c:f>
              <c:strCache>
                <c:ptCount val="1"/>
                <c:pt idx="0">
                  <c:v>May USDA KS Wheat Harvested Acres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6350">
                <a:solidFill>
                  <a:srgbClr val="C00000"/>
                </a:solidFill>
              </a:ln>
              <a:effectLst/>
            </c:spPr>
          </c:marker>
          <c:cat>
            <c:numRef>
              <c:f>'KS Wheat Tour_Kansas'!$K$80:$K$97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Tour_Kansas'!$L$80:$L$97</c:f>
              <c:numCache>
                <c:formatCode>#,##0.0</c:formatCode>
                <c:ptCount val="18"/>
                <c:pt idx="0">
                  <c:v>9.1999999999999993</c:v>
                </c:pt>
                <c:pt idx="1">
                  <c:v>8.4</c:v>
                </c:pt>
                <c:pt idx="2">
                  <c:v>8</c:v>
                </c:pt>
                <c:pt idx="3">
                  <c:v>9.6999999999999993</c:v>
                </c:pt>
                <c:pt idx="4">
                  <c:v>9</c:v>
                </c:pt>
                <c:pt idx="5">
                  <c:v>9.6</c:v>
                </c:pt>
                <c:pt idx="6">
                  <c:v>9.4</c:v>
                </c:pt>
                <c:pt idx="7">
                  <c:v>9.5</c:v>
                </c:pt>
                <c:pt idx="8">
                  <c:v>9.4</c:v>
                </c:pt>
                <c:pt idx="9">
                  <c:v>8.5</c:v>
                </c:pt>
                <c:pt idx="10">
                  <c:v>8.1999999999999993</c:v>
                </c:pt>
                <c:pt idx="11">
                  <c:v>7.7</c:v>
                </c:pt>
                <c:pt idx="12">
                  <c:v>9</c:v>
                </c:pt>
                <c:pt idx="13">
                  <c:v>8.1</c:v>
                </c:pt>
                <c:pt idx="14">
                  <c:v>8.4</c:v>
                </c:pt>
                <c:pt idx="15">
                  <c:v>8.5</c:v>
                </c:pt>
                <c:pt idx="16">
                  <c:v>8.1999999999999993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0-4F36-858E-5AB860949362}"/>
            </c:ext>
          </c:extLst>
        </c:ser>
        <c:ser>
          <c:idx val="16"/>
          <c:order val="16"/>
          <c:tx>
            <c:strRef>
              <c:f>'KS Wheat Tour_Kansas'!$M$79</c:f>
              <c:strCache>
                <c:ptCount val="1"/>
                <c:pt idx="0">
                  <c:v>Final USDA KS Wheat Harvested Acres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70C0"/>
              </a:solidFill>
              <a:ln w="6350">
                <a:solidFill>
                  <a:srgbClr val="0070C0"/>
                </a:solidFill>
              </a:ln>
              <a:effectLst/>
            </c:spPr>
          </c:marker>
          <c:cat>
            <c:numRef>
              <c:f>'KS Wheat Tour_Kansas'!$K$80:$K$97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Tour_Kansas'!$M$80:$M$96</c:f>
              <c:numCache>
                <c:formatCode>#,##0.0</c:formatCode>
                <c:ptCount val="17"/>
                <c:pt idx="0">
                  <c:v>9.4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10</c:v>
                </c:pt>
                <c:pt idx="4">
                  <c:v>8.5</c:v>
                </c:pt>
                <c:pt idx="5">
                  <c:v>9.5</c:v>
                </c:pt>
                <c:pt idx="6">
                  <c:v>9.1</c:v>
                </c:pt>
                <c:pt idx="7">
                  <c:v>8.6</c:v>
                </c:pt>
                <c:pt idx="8">
                  <c:v>9</c:v>
                </c:pt>
                <c:pt idx="9">
                  <c:v>8.9499999999999993</c:v>
                </c:pt>
                <c:pt idx="10">
                  <c:v>8</c:v>
                </c:pt>
                <c:pt idx="11">
                  <c:v>7.95</c:v>
                </c:pt>
                <c:pt idx="12">
                  <c:v>9.1</c:v>
                </c:pt>
                <c:pt idx="13">
                  <c:v>8.4499999999999993</c:v>
                </c:pt>
                <c:pt idx="14">
                  <c:v>8.8000000000000007</c:v>
                </c:pt>
                <c:pt idx="15">
                  <c:v>8.6999999999999993</c:v>
                </c:pt>
                <c:pt idx="16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0-4F36-858E-5AB86094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39392"/>
        <c:axId val="434782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'KS Wheat Tour_Kansas'!$L$60:$O$60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9.2367149758454108</c:v>
                      </c:pt>
                      <c:pt idx="1">
                        <c:v>9.4</c:v>
                      </c:pt>
                      <c:pt idx="3" formatCode="0.0%">
                        <c:v>3.9907582440663614E-3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5EE0-4F36-858E-5AB860949362}"/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Tour_Kansas'!$L$61:$O$61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8.4892966360856263</c:v>
                      </c:pt>
                      <c:pt idx="1">
                        <c:v>8.1999999999999993</c:v>
                      </c:pt>
                      <c:pt idx="3" formatCode="0.0%">
                        <c:v>1.0630551914955433E-2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EE0-4F36-858E-5AB860949362}"/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Tour_Kansas'!$L$62:$O$62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8.3426966292134832</c:v>
                      </c:pt>
                      <c:pt idx="1">
                        <c:v>8.1999999999999993</c:v>
                      </c:pt>
                      <c:pt idx="3" formatCode="0.0%">
                        <c:v>4.2837078651685401E-2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EE0-4F36-858E-5AB860949362}"/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Tour_Kansas'!$L$63:$O$63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9.3814432989690726</c:v>
                      </c:pt>
                      <c:pt idx="1">
                        <c:v>10</c:v>
                      </c:pt>
                      <c:pt idx="3" formatCode="0.0%">
                        <c:v>-3.2840897013497572E-2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EE0-4F36-858E-5AB860949362}"/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Tour_Kansas'!$L$64:$O$64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9.4919786096256686</c:v>
                      </c:pt>
                      <c:pt idx="1">
                        <c:v>8.5</c:v>
                      </c:pt>
                      <c:pt idx="3" formatCode="0.0%">
                        <c:v>5.4664289958407775E-2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EE0-4F36-858E-5AB860949362}"/>
                  </c:ext>
                </c:extLst>
              </c15:ser>
            </c15:filteredLineSeries>
            <c15:filteredLineSeries>
              <c15:ser>
                <c:idx val="6"/>
                <c:order val="5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Tour_Kansas'!$L$65:$O$65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9.0857142857142854</c:v>
                      </c:pt>
                      <c:pt idx="1">
                        <c:v>9.5</c:v>
                      </c:pt>
                      <c:pt idx="3" formatCode="0.0%">
                        <c:v>-5.3571428571428603E-2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EE0-4F36-858E-5AB860949362}"/>
                  </c:ext>
                </c:extLst>
              </c15:ser>
            </c15:filteredLineSeries>
            <c15:filteredLineSeries>
              <c15:ser>
                <c:idx val="8"/>
                <c:order val="7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Tour_Kansas'!$L$67:$O$67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9.5780487804878049</c:v>
                      </c:pt>
                      <c:pt idx="1">
                        <c:v>8.6</c:v>
                      </c:pt>
                      <c:pt idx="3" formatCode="0.0%">
                        <c:v>8.2156611039796434E-3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EE0-4F36-858E-5AB860949362}"/>
                  </c:ext>
                </c:extLst>
              </c15:ser>
            </c15:filteredLineSeries>
            <c15:filteredLineSeries>
              <c15:ser>
                <c:idx val="9"/>
                <c:order val="8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Tour_Kansas'!$L$68:$O$68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8.7551963048498855</c:v>
                      </c:pt>
                      <c:pt idx="1">
                        <c:v>9</c:v>
                      </c:pt>
                      <c:pt idx="3" formatCode="0.0%">
                        <c:v>-6.859613778192708E-2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EE0-4F36-858E-5AB860949362}"/>
                  </c:ext>
                </c:extLst>
              </c15:ser>
            </c15:filteredLineSeries>
            <c15:filteredLineSeries>
              <c15:ser>
                <c:idx val="10"/>
                <c:order val="9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Tour_Kansas'!$L$69:$O$69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8.1691176470588243</c:v>
                      </c:pt>
                      <c:pt idx="1">
                        <c:v>8.9499999999999993</c:v>
                      </c:pt>
                      <c:pt idx="3" formatCode="0.0%">
                        <c:v>-3.8927335640138394E-2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EE0-4F36-858E-5AB860949362}"/>
                  </c:ext>
                </c:extLst>
              </c15:ser>
            </c15:filteredLineSeries>
            <c15:filteredLineSeries>
              <c15:ser>
                <c:idx val="11"/>
                <c:order val="10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Tour_Kansas'!$L$70:$O$70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8.1941031941031941</c:v>
                      </c:pt>
                      <c:pt idx="1">
                        <c:v>8</c:v>
                      </c:pt>
                      <c:pt idx="3" formatCode="0.0%">
                        <c:v>-7.1912267034213162E-4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EE0-4F36-858E-5AB860949362}"/>
                  </c:ext>
                </c:extLst>
              </c15:ser>
            </c15:filteredLineSeries>
            <c15:filteredLineSeries>
              <c15:ser>
                <c:idx val="12"/>
                <c:order val="11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Tour_Kansas'!$L$71:$O$71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6.8636363636363633</c:v>
                      </c:pt>
                      <c:pt idx="1">
                        <c:v>7.95</c:v>
                      </c:pt>
                      <c:pt idx="3" formatCode="0.0%">
                        <c:v>-0.10861865407319959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EE0-4F36-858E-5AB860949362}"/>
                  </c:ext>
                </c:extLst>
              </c15:ser>
            </c15:filteredLineSeries>
            <c15:filteredLineSeries>
              <c15:ser>
                <c:idx val="13"/>
                <c:order val="12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Tour_Kansas'!$L$72:$O$72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8.2240325865580441</c:v>
                      </c:pt>
                      <c:pt idx="1">
                        <c:v>9.1</c:v>
                      </c:pt>
                      <c:pt idx="3" formatCode="0.0%">
                        <c:v>-8.6218601493550651E-2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EE0-4F36-858E-5AB860949362}"/>
                  </c:ext>
                </c:extLst>
              </c15:ser>
            </c15:filteredLineSeries>
            <c15:filteredLineSeries>
              <c15:ser>
                <c:idx val="14"/>
                <c:order val="13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Tour_Kansas'!$L$73:$O$73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7.6180048661800486</c:v>
                      </c:pt>
                      <c:pt idx="1">
                        <c:v>8.4499999999999993</c:v>
                      </c:pt>
                      <c:pt idx="3" formatCode="0.0%">
                        <c:v>-5.9505572076537283E-2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EE0-4F36-858E-5AB860949362}"/>
                  </c:ext>
                </c:extLst>
              </c15:ser>
            </c15:filteredLineSeries>
            <c15:filteredLineSeries>
              <c15:ser>
                <c:idx val="15"/>
                <c:order val="14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Tour_Kansas'!$L$74:$O$74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7.8524096385542155</c:v>
                      </c:pt>
                      <c:pt idx="1">
                        <c:v>8.8000000000000007</c:v>
                      </c:pt>
                      <c:pt idx="3" formatCode="0.0%">
                        <c:v>-6.5189328743545771E-2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5EE0-4F36-858E-5AB860949362}"/>
                  </c:ext>
                </c:extLst>
              </c15:ser>
            </c15:filteredLineSeries>
            <c15:filteredLineSeries>
              <c15:ser>
                <c:idx val="0"/>
                <c:order val="15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Tour_Kansas'!$K$80:$K$97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Tour_Kansas'!$L$75:$O$75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8.0362116991643457</c:v>
                      </c:pt>
                      <c:pt idx="1">
                        <c:v>8.6999999999999993</c:v>
                      </c:pt>
                      <c:pt idx="3" formatCode="0.0%">
                        <c:v>-5.4563329510076919E-2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E0-4F36-858E-5AB860949362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7"/>
          <c:order val="17"/>
          <c:tx>
            <c:strRef>
              <c:f>'KS Wheat Tour_Kansas'!$O$79</c:f>
              <c:strCache>
                <c:ptCount val="1"/>
                <c:pt idx="0">
                  <c:v>USDA May-Final % Forecast Error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dLbls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E0-4F36-858E-5AB860949362}"/>
                </c:ext>
              </c:extLst>
            </c:dLbl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E0-4F36-858E-5AB860949362}"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E0-4F36-858E-5AB860949362}"/>
                </c:ext>
              </c:extLst>
            </c:dLbl>
            <c:dLbl>
              <c:idx val="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E0-4F36-858E-5AB860949362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E0-4F36-858E-5AB860949362}"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E0-4F36-858E-5AB860949362}"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E0-4F36-858E-5AB860949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'KS Wheat Tour_Kansas'!$O$80:$O$96</c:f>
              <c:numCache>
                <c:formatCode>0.0%</c:formatCode>
                <c:ptCount val="17"/>
                <c:pt idx="0">
                  <c:v>-2.1276595744680993E-2</c:v>
                </c:pt>
                <c:pt idx="1">
                  <c:v>2.4390243902439046E-2</c:v>
                </c:pt>
                <c:pt idx="2">
                  <c:v>-2.4390243902438935E-2</c:v>
                </c:pt>
                <c:pt idx="3">
                  <c:v>-3.0000000000000027E-2</c:v>
                </c:pt>
                <c:pt idx="4">
                  <c:v>5.8823529411764719E-2</c:v>
                </c:pt>
                <c:pt idx="5">
                  <c:v>1.0526315789473717E-2</c:v>
                </c:pt>
                <c:pt idx="6">
                  <c:v>3.2967032967033072E-2</c:v>
                </c:pt>
                <c:pt idx="7">
                  <c:v>0.10465116279069764</c:v>
                </c:pt>
                <c:pt idx="8">
                  <c:v>4.4444444444444509E-2</c:v>
                </c:pt>
                <c:pt idx="9">
                  <c:v>-5.0279329608938439E-2</c:v>
                </c:pt>
                <c:pt idx="10">
                  <c:v>2.4999999999999911E-2</c:v>
                </c:pt>
                <c:pt idx="11">
                  <c:v>-3.1446540880503138E-2</c:v>
                </c:pt>
                <c:pt idx="12">
                  <c:v>-1.098901098901095E-2</c:v>
                </c:pt>
                <c:pt idx="13">
                  <c:v>-4.1420118343195256E-2</c:v>
                </c:pt>
                <c:pt idx="14">
                  <c:v>-4.5454545454545525E-2</c:v>
                </c:pt>
                <c:pt idx="15">
                  <c:v>-2.2988505747126409E-2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EE0-4F36-858E-5AB86094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83688"/>
        <c:axId val="434783296"/>
      </c:lineChart>
      <c:catAx>
        <c:axId val="4347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82904"/>
        <c:crosses val="autoZero"/>
        <c:auto val="1"/>
        <c:lblAlgn val="ctr"/>
        <c:lblOffset val="100"/>
        <c:noMultiLvlLbl val="0"/>
      </c:catAx>
      <c:valAx>
        <c:axId val="43478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rgbClr val="C00000"/>
                    </a:solidFill>
                  </a:rPr>
                  <a:t>Harvested Acres (Million Acres)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39392"/>
        <c:crosses val="autoZero"/>
        <c:crossBetween val="between"/>
      </c:valAx>
      <c:valAx>
        <c:axId val="434783296"/>
        <c:scaling>
          <c:orientation val="minMax"/>
          <c:max val="1.8"/>
          <c:min val="-0.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83688"/>
        <c:crosses val="max"/>
        <c:crossBetween val="between"/>
        <c:majorUnit val="0.2"/>
      </c:valAx>
      <c:catAx>
        <c:axId val="434783688"/>
        <c:scaling>
          <c:orientation val="minMax"/>
        </c:scaling>
        <c:delete val="1"/>
        <c:axPos val="b"/>
        <c:majorTickMark val="out"/>
        <c:minorTickMark val="none"/>
        <c:tickLblPos val="nextTo"/>
        <c:crossAx val="434783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1492954041337177E-3"/>
          <c:y val="0.88770687345296262"/>
          <c:w val="0.9895996627984146"/>
          <c:h val="9.3317794478726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Kansas Wheat Yield Forecast Accuracy</a:t>
            </a:r>
          </a:p>
          <a:p>
            <a:pPr>
              <a:defRPr/>
            </a:pPr>
            <a:r>
              <a:rPr lang="en-US" sz="1600" b="1"/>
              <a:t>by</a:t>
            </a:r>
            <a:r>
              <a:rPr lang="en-US" sz="1600" b="1" baseline="0"/>
              <a:t> the May USDA Crop Production Report</a:t>
            </a:r>
            <a:endParaRPr lang="en-US" sz="1600" b="1"/>
          </a:p>
          <a:p>
            <a:pPr>
              <a:defRPr/>
            </a:pPr>
            <a:r>
              <a:rPr lang="en-US"/>
              <a:t>Year 2000-2016 Final Results with 2017</a:t>
            </a:r>
            <a:r>
              <a:rPr lang="en-US" baseline="0"/>
              <a:t> Forecast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6"/>
          <c:tx>
            <c:strRef>
              <c:f>'KS Wheat Tour_Kansas'!$AF$79</c:f>
              <c:strCache>
                <c:ptCount val="1"/>
                <c:pt idx="0">
                  <c:v>USDA KS Wheat Final Yield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6350">
                <a:solidFill>
                  <a:srgbClr val="C00000"/>
                </a:solidFill>
              </a:ln>
              <a:effectLst/>
            </c:spPr>
          </c:marker>
          <c:cat>
            <c:numRef>
              <c:f>'KS Wheat Tour_Kansas'!$AD$80:$AD$97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Tour_Kansas'!$AF$80:$AF$97</c:f>
              <c:numCache>
                <c:formatCode>#,##0.0</c:formatCode>
                <c:ptCount val="18"/>
                <c:pt idx="0">
                  <c:v>37</c:v>
                </c:pt>
                <c:pt idx="1">
                  <c:v>40</c:v>
                </c:pt>
                <c:pt idx="2">
                  <c:v>33</c:v>
                </c:pt>
                <c:pt idx="3">
                  <c:v>48</c:v>
                </c:pt>
                <c:pt idx="4">
                  <c:v>37</c:v>
                </c:pt>
                <c:pt idx="5">
                  <c:v>40</c:v>
                </c:pt>
                <c:pt idx="6">
                  <c:v>32</c:v>
                </c:pt>
                <c:pt idx="7">
                  <c:v>33</c:v>
                </c:pt>
                <c:pt idx="8">
                  <c:v>40</c:v>
                </c:pt>
                <c:pt idx="9">
                  <c:v>42</c:v>
                </c:pt>
                <c:pt idx="10">
                  <c:v>45</c:v>
                </c:pt>
                <c:pt idx="11">
                  <c:v>35</c:v>
                </c:pt>
                <c:pt idx="12">
                  <c:v>42</c:v>
                </c:pt>
                <c:pt idx="13">
                  <c:v>38</c:v>
                </c:pt>
                <c:pt idx="14">
                  <c:v>28</c:v>
                </c:pt>
                <c:pt idx="15">
                  <c:v>37</c:v>
                </c:pt>
                <c:pt idx="16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5-4593-8687-3C278E00E97A}"/>
            </c:ext>
          </c:extLst>
        </c:ser>
        <c:ser>
          <c:idx val="16"/>
          <c:order val="16"/>
          <c:tx>
            <c:strRef>
              <c:f>'KS Wheat Tour_Kansas'!$AE$79</c:f>
              <c:strCache>
                <c:ptCount val="1"/>
                <c:pt idx="0">
                  <c:v>May USDA KS Wheat Yield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70C0"/>
              </a:solidFill>
              <a:ln w="6350">
                <a:solidFill>
                  <a:srgbClr val="0070C0"/>
                </a:solidFill>
              </a:ln>
              <a:effectLst/>
            </c:spPr>
          </c:marker>
          <c:cat>
            <c:numRef>
              <c:f>'KS Wheat Tour_Kansas'!$AD$80:$AD$97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Tour_Kansas'!$AE$80:$AE$97</c:f>
              <c:numCache>
                <c:formatCode>#,##0.0</c:formatCode>
                <c:ptCount val="18"/>
                <c:pt idx="0">
                  <c:v>44</c:v>
                </c:pt>
                <c:pt idx="1">
                  <c:v>34</c:v>
                </c:pt>
                <c:pt idx="2">
                  <c:v>37</c:v>
                </c:pt>
                <c:pt idx="3">
                  <c:v>40</c:v>
                </c:pt>
                <c:pt idx="4">
                  <c:v>41</c:v>
                </c:pt>
                <c:pt idx="5">
                  <c:v>44</c:v>
                </c:pt>
                <c:pt idx="6">
                  <c:v>34</c:v>
                </c:pt>
                <c:pt idx="7">
                  <c:v>38</c:v>
                </c:pt>
                <c:pt idx="8">
                  <c:v>38</c:v>
                </c:pt>
                <c:pt idx="9">
                  <c:v>40</c:v>
                </c:pt>
                <c:pt idx="10">
                  <c:v>42</c:v>
                </c:pt>
                <c:pt idx="11">
                  <c:v>34</c:v>
                </c:pt>
                <c:pt idx="12">
                  <c:v>43</c:v>
                </c:pt>
                <c:pt idx="13">
                  <c:v>37</c:v>
                </c:pt>
                <c:pt idx="14">
                  <c:v>31</c:v>
                </c:pt>
                <c:pt idx="15">
                  <c:v>32</c:v>
                </c:pt>
                <c:pt idx="16">
                  <c:v>43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5-4593-8687-3C278E00E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84472"/>
        <c:axId val="43389264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'KS Wheat Tour_Kansas'!$L$60:$O$60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9.2367149758454108</c:v>
                      </c:pt>
                      <c:pt idx="1">
                        <c:v>9.4</c:v>
                      </c:pt>
                      <c:pt idx="3" formatCode="0.0%">
                        <c:v>3.9907582440663614E-3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CE25-4593-8687-3C278E00E97A}"/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Tour_Kansas'!$L$61:$O$61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8.4892966360856263</c:v>
                      </c:pt>
                      <c:pt idx="1">
                        <c:v>8.1999999999999993</c:v>
                      </c:pt>
                      <c:pt idx="3" formatCode="0.0%">
                        <c:v>1.0630551914955433E-2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E25-4593-8687-3C278E00E97A}"/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Tour_Kansas'!$L$62:$O$62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8.3426966292134832</c:v>
                      </c:pt>
                      <c:pt idx="1">
                        <c:v>8.1999999999999993</c:v>
                      </c:pt>
                      <c:pt idx="3" formatCode="0.0%">
                        <c:v>4.2837078651685401E-2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E25-4593-8687-3C278E00E97A}"/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Tour_Kansas'!$L$63:$O$63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9.3814432989690726</c:v>
                      </c:pt>
                      <c:pt idx="1">
                        <c:v>10</c:v>
                      </c:pt>
                      <c:pt idx="3" formatCode="0.0%">
                        <c:v>-3.2840897013497572E-2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E25-4593-8687-3C278E00E97A}"/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Tour_Kansas'!$L$64:$O$64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9.4919786096256686</c:v>
                      </c:pt>
                      <c:pt idx="1">
                        <c:v>8.5</c:v>
                      </c:pt>
                      <c:pt idx="3" formatCode="0.0%">
                        <c:v>5.4664289958407775E-2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E25-4593-8687-3C278E00E97A}"/>
                  </c:ext>
                </c:extLst>
              </c15:ser>
            </c15:filteredLineSeries>
            <c15:filteredLineSeries>
              <c15:ser>
                <c:idx val="6"/>
                <c:order val="5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Tour_Kansas'!$L$65:$O$65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9.0857142857142854</c:v>
                      </c:pt>
                      <c:pt idx="1">
                        <c:v>9.5</c:v>
                      </c:pt>
                      <c:pt idx="3" formatCode="0.0%">
                        <c:v>-5.3571428571428603E-2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E25-4593-8687-3C278E00E97A}"/>
                  </c:ext>
                </c:extLst>
              </c15:ser>
            </c15:filteredLineSeries>
            <c15:filteredLineSeries>
              <c15:ser>
                <c:idx val="8"/>
                <c:order val="7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Tour_Kansas'!$L$67:$O$67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9.5780487804878049</c:v>
                      </c:pt>
                      <c:pt idx="1">
                        <c:v>8.6</c:v>
                      </c:pt>
                      <c:pt idx="3" formatCode="0.0%">
                        <c:v>8.2156611039796434E-3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E25-4593-8687-3C278E00E97A}"/>
                  </c:ext>
                </c:extLst>
              </c15:ser>
            </c15:filteredLineSeries>
            <c15:filteredLineSeries>
              <c15:ser>
                <c:idx val="9"/>
                <c:order val="8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Tour_Kansas'!$L$68:$O$68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8.7551963048498855</c:v>
                      </c:pt>
                      <c:pt idx="1">
                        <c:v>9</c:v>
                      </c:pt>
                      <c:pt idx="3" formatCode="0.0%">
                        <c:v>-6.859613778192708E-2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E25-4593-8687-3C278E00E97A}"/>
                  </c:ext>
                </c:extLst>
              </c15:ser>
            </c15:filteredLineSeries>
            <c15:filteredLineSeries>
              <c15:ser>
                <c:idx val="10"/>
                <c:order val="9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Tour_Kansas'!$L$69:$O$69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8.1691176470588243</c:v>
                      </c:pt>
                      <c:pt idx="1">
                        <c:v>8.9499999999999993</c:v>
                      </c:pt>
                      <c:pt idx="3" formatCode="0.0%">
                        <c:v>-3.8927335640138394E-2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E25-4593-8687-3C278E00E97A}"/>
                  </c:ext>
                </c:extLst>
              </c15:ser>
            </c15:filteredLineSeries>
            <c15:filteredLineSeries>
              <c15:ser>
                <c:idx val="11"/>
                <c:order val="10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Tour_Kansas'!$L$70:$O$70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8.1941031941031941</c:v>
                      </c:pt>
                      <c:pt idx="1">
                        <c:v>8</c:v>
                      </c:pt>
                      <c:pt idx="3" formatCode="0.0%">
                        <c:v>-7.1912267034213162E-4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E25-4593-8687-3C278E00E97A}"/>
                  </c:ext>
                </c:extLst>
              </c15:ser>
            </c15:filteredLineSeries>
            <c15:filteredLineSeries>
              <c15:ser>
                <c:idx val="12"/>
                <c:order val="11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Tour_Kansas'!$L$71:$O$71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6.8636363636363633</c:v>
                      </c:pt>
                      <c:pt idx="1">
                        <c:v>7.95</c:v>
                      </c:pt>
                      <c:pt idx="3" formatCode="0.0%">
                        <c:v>-0.10861865407319959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E25-4593-8687-3C278E00E97A}"/>
                  </c:ext>
                </c:extLst>
              </c15:ser>
            </c15:filteredLineSeries>
            <c15:filteredLineSeries>
              <c15:ser>
                <c:idx val="13"/>
                <c:order val="12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Tour_Kansas'!$L$72:$O$72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8.2240325865580441</c:v>
                      </c:pt>
                      <c:pt idx="1">
                        <c:v>9.1</c:v>
                      </c:pt>
                      <c:pt idx="3" formatCode="0.0%">
                        <c:v>-8.6218601493550651E-2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E25-4593-8687-3C278E00E97A}"/>
                  </c:ext>
                </c:extLst>
              </c15:ser>
            </c15:filteredLineSeries>
            <c15:filteredLineSeries>
              <c15:ser>
                <c:idx val="14"/>
                <c:order val="13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Tour_Kansas'!$L$73:$O$73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7.6180048661800486</c:v>
                      </c:pt>
                      <c:pt idx="1">
                        <c:v>8.4499999999999993</c:v>
                      </c:pt>
                      <c:pt idx="3" formatCode="0.0%">
                        <c:v>-5.9505572076537283E-2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E25-4593-8687-3C278E00E97A}"/>
                  </c:ext>
                </c:extLst>
              </c15:ser>
            </c15:filteredLineSeries>
            <c15:filteredLineSeries>
              <c15:ser>
                <c:idx val="15"/>
                <c:order val="14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Tour_Kansas'!$L$74:$O$74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7.8524096385542155</c:v>
                      </c:pt>
                      <c:pt idx="1">
                        <c:v>8.8000000000000007</c:v>
                      </c:pt>
                      <c:pt idx="3" formatCode="0.0%">
                        <c:v>-6.5189328743545771E-2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E25-4593-8687-3C278E00E97A}"/>
                  </c:ext>
                </c:extLst>
              </c15:ser>
            </c15:filteredLineSeries>
            <c15:filteredLineSeries>
              <c15:ser>
                <c:idx val="0"/>
                <c:order val="15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Tour_Kansas'!$AD$80:$AD$97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Tour_Kansas'!$L$75:$O$75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8.0362116991643457</c:v>
                      </c:pt>
                      <c:pt idx="1">
                        <c:v>8.6999999999999993</c:v>
                      </c:pt>
                      <c:pt idx="3" formatCode="0.0%">
                        <c:v>-5.4563329510076919E-2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E25-4593-8687-3C278E00E97A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7"/>
          <c:order val="17"/>
          <c:tx>
            <c:strRef>
              <c:f>'KS Wheat Tour_Kansas'!$AG$79</c:f>
              <c:strCache>
                <c:ptCount val="1"/>
                <c:pt idx="0">
                  <c:v>USDA May-Final % Forecast Error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25-4593-8687-3C278E00E97A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25-4593-8687-3C278E00E97A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25-4593-8687-3C278E00E97A}"/>
                </c:ext>
              </c:extLst>
            </c:dLbl>
            <c:dLbl>
              <c:idx val="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25-4593-8687-3C278E00E97A}"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25-4593-8687-3C278E00E97A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25-4593-8687-3C278E00E97A}"/>
                </c:ext>
              </c:extLst>
            </c:dLbl>
            <c:dLbl>
              <c:idx val="1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25-4593-8687-3C278E00E9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'KS Wheat Tour_Kansas'!$AG$80:$AG$97</c:f>
              <c:numCache>
                <c:formatCode>0.0%</c:formatCode>
                <c:ptCount val="18"/>
                <c:pt idx="0">
                  <c:v>0.18918918918918926</c:v>
                </c:pt>
                <c:pt idx="1">
                  <c:v>-0.15000000000000002</c:v>
                </c:pt>
                <c:pt idx="2">
                  <c:v>0.1212121212121211</c:v>
                </c:pt>
                <c:pt idx="3">
                  <c:v>-0.16666666666666663</c:v>
                </c:pt>
                <c:pt idx="4">
                  <c:v>0.10810810810810811</c:v>
                </c:pt>
                <c:pt idx="5">
                  <c:v>0.10000000000000009</c:v>
                </c:pt>
                <c:pt idx="6">
                  <c:v>6.25E-2</c:v>
                </c:pt>
                <c:pt idx="7">
                  <c:v>0.1515151515151516</c:v>
                </c:pt>
                <c:pt idx="8">
                  <c:v>-5.0000000000000044E-2</c:v>
                </c:pt>
                <c:pt idx="9">
                  <c:v>-4.7619047619047672E-2</c:v>
                </c:pt>
                <c:pt idx="10">
                  <c:v>-6.6666666666666652E-2</c:v>
                </c:pt>
                <c:pt idx="11">
                  <c:v>-2.8571428571428581E-2</c:v>
                </c:pt>
                <c:pt idx="12">
                  <c:v>2.3809523809523725E-2</c:v>
                </c:pt>
                <c:pt idx="13">
                  <c:v>-2.6315789473684181E-2</c:v>
                </c:pt>
                <c:pt idx="14">
                  <c:v>0.10714285714285721</c:v>
                </c:pt>
                <c:pt idx="15">
                  <c:v>-0.13513513513513509</c:v>
                </c:pt>
                <c:pt idx="16">
                  <c:v>-0.24561403508771928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25-4593-8687-3C278E00E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93424"/>
        <c:axId val="433893032"/>
      </c:lineChart>
      <c:catAx>
        <c:axId val="43478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92640"/>
        <c:crosses val="autoZero"/>
        <c:auto val="1"/>
        <c:lblAlgn val="ctr"/>
        <c:lblOffset val="100"/>
        <c:noMultiLvlLbl val="0"/>
      </c:catAx>
      <c:valAx>
        <c:axId val="43389264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rgbClr val="C00000"/>
                    </a:solidFill>
                  </a:rPr>
                  <a:t>KS Wheat Yield (Bushels / Acre)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84472"/>
        <c:crosses val="autoZero"/>
        <c:crossBetween val="between"/>
      </c:valAx>
      <c:valAx>
        <c:axId val="433893032"/>
        <c:scaling>
          <c:orientation val="minMax"/>
          <c:max val="1.8"/>
          <c:min val="-0.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accent4">
                        <a:lumMod val="50000"/>
                      </a:schemeClr>
                    </a:solidFill>
                  </a:rPr>
                  <a:t>% Forecast Error</a:t>
                </a:r>
              </a:p>
            </c:rich>
          </c:tx>
          <c:layout>
            <c:manualLayout>
              <c:xMode val="edge"/>
              <c:yMode val="edge"/>
              <c:x val="0.95745656662164091"/>
              <c:y val="0.432584321669334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accent4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93424"/>
        <c:crosses val="max"/>
        <c:crossBetween val="between"/>
        <c:majorUnit val="0.2"/>
      </c:valAx>
      <c:catAx>
        <c:axId val="433893424"/>
        <c:scaling>
          <c:orientation val="minMax"/>
        </c:scaling>
        <c:delete val="1"/>
        <c:axPos val="b"/>
        <c:majorTickMark val="out"/>
        <c:minorTickMark val="none"/>
        <c:tickLblPos val="nextTo"/>
        <c:crossAx val="433893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Kansas Wheat Production Forecast Accuracy</a:t>
            </a:r>
          </a:p>
          <a:p>
            <a:pPr>
              <a:defRPr/>
            </a:pPr>
            <a:r>
              <a:rPr lang="en-US" sz="1600" b="1"/>
              <a:t>by</a:t>
            </a:r>
            <a:r>
              <a:rPr lang="en-US" sz="1600" b="1" baseline="0"/>
              <a:t> the May USDA Crop Production Report</a:t>
            </a:r>
            <a:endParaRPr lang="en-US" sz="1600" b="1"/>
          </a:p>
          <a:p>
            <a:pPr>
              <a:defRPr/>
            </a:pPr>
            <a:r>
              <a:rPr lang="en-US"/>
              <a:t>Year 2000-2016 Final Results with 2017</a:t>
            </a:r>
            <a:r>
              <a:rPr lang="en-US" baseline="0"/>
              <a:t> Forecast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6"/>
          <c:tx>
            <c:strRef>
              <c:f>'KS Wheat Tour_Kansas'!$AU$79</c:f>
              <c:strCache>
                <c:ptCount val="1"/>
                <c:pt idx="0">
                  <c:v>USDA KS Wheat Final Production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6350">
                <a:solidFill>
                  <a:srgbClr val="C00000"/>
                </a:solidFill>
              </a:ln>
              <a:effectLst/>
            </c:spPr>
          </c:marker>
          <c:cat>
            <c:numRef>
              <c:f>'KS Wheat Tour_Kansas'!$AS$80:$AS$97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Tour_Kansas'!$AU$80:$AU$97</c:f>
              <c:numCache>
                <c:formatCode>#,##0.0</c:formatCode>
                <c:ptCount val="18"/>
                <c:pt idx="0">
                  <c:v>347.8</c:v>
                </c:pt>
                <c:pt idx="1">
                  <c:v>328</c:v>
                </c:pt>
                <c:pt idx="2">
                  <c:v>270.60000000000002</c:v>
                </c:pt>
                <c:pt idx="3">
                  <c:v>480</c:v>
                </c:pt>
                <c:pt idx="4">
                  <c:v>314.5</c:v>
                </c:pt>
                <c:pt idx="5">
                  <c:v>380</c:v>
                </c:pt>
                <c:pt idx="6">
                  <c:v>291.2</c:v>
                </c:pt>
                <c:pt idx="7">
                  <c:v>283.8</c:v>
                </c:pt>
                <c:pt idx="8">
                  <c:v>360</c:v>
                </c:pt>
                <c:pt idx="9">
                  <c:v>375.9</c:v>
                </c:pt>
                <c:pt idx="10">
                  <c:v>360</c:v>
                </c:pt>
                <c:pt idx="11">
                  <c:v>278.25</c:v>
                </c:pt>
                <c:pt idx="12">
                  <c:v>382.2</c:v>
                </c:pt>
                <c:pt idx="13">
                  <c:v>321.10000000000002</c:v>
                </c:pt>
                <c:pt idx="14">
                  <c:v>246.4</c:v>
                </c:pt>
                <c:pt idx="15">
                  <c:v>321.89999999999998</c:v>
                </c:pt>
                <c:pt idx="16">
                  <c:v>467.4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8-4DE5-B5BD-DD471393D4B0}"/>
            </c:ext>
          </c:extLst>
        </c:ser>
        <c:ser>
          <c:idx val="16"/>
          <c:order val="16"/>
          <c:tx>
            <c:strRef>
              <c:f>'KS Wheat Tour_Kansas'!$AT$79</c:f>
              <c:strCache>
                <c:ptCount val="1"/>
                <c:pt idx="0">
                  <c:v>May USDA KS Wheat Production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70C0"/>
              </a:solidFill>
              <a:ln w="6350">
                <a:solidFill>
                  <a:srgbClr val="0070C0"/>
                </a:solidFill>
              </a:ln>
              <a:effectLst/>
            </c:spPr>
          </c:marker>
          <c:cat>
            <c:numRef>
              <c:f>'KS Wheat Tour_Kansas'!$AS$80:$AS$97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'KS Wheat Tour_Kansas'!$AT$80:$AT$97</c:f>
              <c:numCache>
                <c:formatCode>#,##0.0</c:formatCode>
                <c:ptCount val="18"/>
                <c:pt idx="0">
                  <c:v>404.8</c:v>
                </c:pt>
                <c:pt idx="1">
                  <c:v>285.60000000000002</c:v>
                </c:pt>
                <c:pt idx="2">
                  <c:v>296</c:v>
                </c:pt>
                <c:pt idx="3">
                  <c:v>388</c:v>
                </c:pt>
                <c:pt idx="4">
                  <c:v>369</c:v>
                </c:pt>
                <c:pt idx="5">
                  <c:v>422.4</c:v>
                </c:pt>
                <c:pt idx="6">
                  <c:v>319.60000000000002</c:v>
                </c:pt>
                <c:pt idx="7">
                  <c:v>361</c:v>
                </c:pt>
                <c:pt idx="8">
                  <c:v>357.2</c:v>
                </c:pt>
                <c:pt idx="9">
                  <c:v>340</c:v>
                </c:pt>
                <c:pt idx="10">
                  <c:v>344.4</c:v>
                </c:pt>
                <c:pt idx="11">
                  <c:v>261.8</c:v>
                </c:pt>
                <c:pt idx="12">
                  <c:v>387</c:v>
                </c:pt>
                <c:pt idx="13">
                  <c:v>299.7</c:v>
                </c:pt>
                <c:pt idx="14">
                  <c:v>260.39999999999998</c:v>
                </c:pt>
                <c:pt idx="15">
                  <c:v>272</c:v>
                </c:pt>
                <c:pt idx="16">
                  <c:v>352.6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8-4DE5-B5BD-DD471393D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94208"/>
        <c:axId val="43354940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'KS Wheat Tour_Kansas'!$L$60:$O$60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9.2367149758454108</c:v>
                      </c:pt>
                      <c:pt idx="1">
                        <c:v>9.4</c:v>
                      </c:pt>
                      <c:pt idx="3" formatCode="0.0%">
                        <c:v>3.9907582440663614E-3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E9A8-4DE5-B5BD-DD471393D4B0}"/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Tour_Kansas'!$L$61:$O$61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8.4892966360856263</c:v>
                      </c:pt>
                      <c:pt idx="1">
                        <c:v>8.1999999999999993</c:v>
                      </c:pt>
                      <c:pt idx="3" formatCode="0.0%">
                        <c:v>1.0630551914955433E-2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9A8-4DE5-B5BD-DD471393D4B0}"/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Tour_Kansas'!$L$62:$O$62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8.3426966292134832</c:v>
                      </c:pt>
                      <c:pt idx="1">
                        <c:v>8.1999999999999993</c:v>
                      </c:pt>
                      <c:pt idx="3" formatCode="0.0%">
                        <c:v>4.2837078651685401E-2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9A8-4DE5-B5BD-DD471393D4B0}"/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Tour_Kansas'!$L$63:$O$63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9.3814432989690726</c:v>
                      </c:pt>
                      <c:pt idx="1">
                        <c:v>10</c:v>
                      </c:pt>
                      <c:pt idx="3" formatCode="0.0%">
                        <c:v>-3.2840897013497572E-2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9A8-4DE5-B5BD-DD471393D4B0}"/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Tour_Kansas'!$L$64:$O$64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9.4919786096256686</c:v>
                      </c:pt>
                      <c:pt idx="1">
                        <c:v>8.5</c:v>
                      </c:pt>
                      <c:pt idx="3" formatCode="0.0%">
                        <c:v>5.4664289958407775E-2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9A8-4DE5-B5BD-DD471393D4B0}"/>
                  </c:ext>
                </c:extLst>
              </c15:ser>
            </c15:filteredLineSeries>
            <c15:filteredLineSeries>
              <c15:ser>
                <c:idx val="6"/>
                <c:order val="5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Tour_Kansas'!$L$65:$O$65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9.0857142857142854</c:v>
                      </c:pt>
                      <c:pt idx="1">
                        <c:v>9.5</c:v>
                      </c:pt>
                      <c:pt idx="3" formatCode="0.0%">
                        <c:v>-5.3571428571428603E-2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9A8-4DE5-B5BD-DD471393D4B0}"/>
                  </c:ext>
                </c:extLst>
              </c15:ser>
            </c15:filteredLineSeries>
            <c15:filteredLineSeries>
              <c15:ser>
                <c:idx val="8"/>
                <c:order val="7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Tour_Kansas'!$L$67:$O$67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9.5780487804878049</c:v>
                      </c:pt>
                      <c:pt idx="1">
                        <c:v>8.6</c:v>
                      </c:pt>
                      <c:pt idx="3" formatCode="0.0%">
                        <c:v>8.2156611039796434E-3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9A8-4DE5-B5BD-DD471393D4B0}"/>
                  </c:ext>
                </c:extLst>
              </c15:ser>
            </c15:filteredLineSeries>
            <c15:filteredLineSeries>
              <c15:ser>
                <c:idx val="9"/>
                <c:order val="8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Tour_Kansas'!$L$68:$O$68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8.7551963048498855</c:v>
                      </c:pt>
                      <c:pt idx="1">
                        <c:v>9</c:v>
                      </c:pt>
                      <c:pt idx="3" formatCode="0.0%">
                        <c:v>-6.859613778192708E-2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9A8-4DE5-B5BD-DD471393D4B0}"/>
                  </c:ext>
                </c:extLst>
              </c15:ser>
            </c15:filteredLineSeries>
            <c15:filteredLineSeries>
              <c15:ser>
                <c:idx val="10"/>
                <c:order val="9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Tour_Kansas'!$L$69:$O$69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8.1691176470588243</c:v>
                      </c:pt>
                      <c:pt idx="1">
                        <c:v>8.9499999999999993</c:v>
                      </c:pt>
                      <c:pt idx="3" formatCode="0.0%">
                        <c:v>-3.8927335640138394E-2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9A8-4DE5-B5BD-DD471393D4B0}"/>
                  </c:ext>
                </c:extLst>
              </c15:ser>
            </c15:filteredLineSeries>
            <c15:filteredLineSeries>
              <c15:ser>
                <c:idx val="11"/>
                <c:order val="10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Tour_Kansas'!$L$70:$O$70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8.1941031941031941</c:v>
                      </c:pt>
                      <c:pt idx="1">
                        <c:v>8</c:v>
                      </c:pt>
                      <c:pt idx="3" formatCode="0.0%">
                        <c:v>-7.1912267034213162E-4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9A8-4DE5-B5BD-DD471393D4B0}"/>
                  </c:ext>
                </c:extLst>
              </c15:ser>
            </c15:filteredLineSeries>
            <c15:filteredLineSeries>
              <c15:ser>
                <c:idx val="12"/>
                <c:order val="11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Tour_Kansas'!$L$71:$O$71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6.8636363636363633</c:v>
                      </c:pt>
                      <c:pt idx="1">
                        <c:v>7.95</c:v>
                      </c:pt>
                      <c:pt idx="3" formatCode="0.0%">
                        <c:v>-0.10861865407319959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9A8-4DE5-B5BD-DD471393D4B0}"/>
                  </c:ext>
                </c:extLst>
              </c15:ser>
            </c15:filteredLineSeries>
            <c15:filteredLineSeries>
              <c15:ser>
                <c:idx val="13"/>
                <c:order val="12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Tour_Kansas'!$L$72:$O$72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8.2240325865580441</c:v>
                      </c:pt>
                      <c:pt idx="1">
                        <c:v>9.1</c:v>
                      </c:pt>
                      <c:pt idx="3" formatCode="0.0%">
                        <c:v>-8.6218601493550651E-2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9A8-4DE5-B5BD-DD471393D4B0}"/>
                  </c:ext>
                </c:extLst>
              </c15:ser>
            </c15:filteredLineSeries>
            <c15:filteredLineSeries>
              <c15:ser>
                <c:idx val="14"/>
                <c:order val="13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Tour_Kansas'!$L$73:$O$73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7.6180048661800486</c:v>
                      </c:pt>
                      <c:pt idx="1">
                        <c:v>8.4499999999999993</c:v>
                      </c:pt>
                      <c:pt idx="3" formatCode="0.0%">
                        <c:v>-5.9505572076537283E-2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9A8-4DE5-B5BD-DD471393D4B0}"/>
                  </c:ext>
                </c:extLst>
              </c15:ser>
            </c15:filteredLineSeries>
            <c15:filteredLineSeries>
              <c15:ser>
                <c:idx val="15"/>
                <c:order val="14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Tour_Kansas'!$L$74:$O$74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7.8524096385542155</c:v>
                      </c:pt>
                      <c:pt idx="1">
                        <c:v>8.8000000000000007</c:v>
                      </c:pt>
                      <c:pt idx="3" formatCode="0.0%">
                        <c:v>-6.5189328743545771E-2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E9A8-4DE5-B5BD-DD471393D4B0}"/>
                  </c:ext>
                </c:extLst>
              </c15:ser>
            </c15:filteredLineSeries>
            <c15:filteredLineSeries>
              <c15:ser>
                <c:idx val="0"/>
                <c:order val="15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'KS Wheat Tour_Kansas'!$AS$80:$AS$97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'KS Wheat Tour_Kansas'!$L$75:$O$75</c15:sqref>
                        </c15:formulaRef>
                      </c:ext>
                    </c:extLst>
                    <c:numCache>
                      <c:formatCode>#,##0.0</c:formatCode>
                      <c:ptCount val="4"/>
                      <c:pt idx="0">
                        <c:v>8.0362116991643457</c:v>
                      </c:pt>
                      <c:pt idx="1">
                        <c:v>8.6999999999999993</c:v>
                      </c:pt>
                      <c:pt idx="3" formatCode="0.0%">
                        <c:v>-5.4563329510076919E-2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9A8-4DE5-B5BD-DD471393D4B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7"/>
          <c:order val="17"/>
          <c:tx>
            <c:strRef>
              <c:f>'KS Wheat Tour_Kansas'!$AV$79</c:f>
              <c:strCache>
                <c:ptCount val="1"/>
                <c:pt idx="0">
                  <c:v>USDA May-Final % Forecast Error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A8-4DE5-B5BD-DD471393D4B0}"/>
                </c:ext>
              </c:extLst>
            </c:dLbl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A8-4DE5-B5BD-DD471393D4B0}"/>
                </c:ext>
              </c:extLst>
            </c:dLbl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A8-4DE5-B5BD-DD471393D4B0}"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A8-4DE5-B5BD-DD471393D4B0}"/>
                </c:ext>
              </c:extLst>
            </c:dLbl>
            <c:dLbl>
              <c:idx val="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9A8-4DE5-B5BD-DD471393D4B0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9A8-4DE5-B5BD-DD471393D4B0}"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9A8-4DE5-B5BD-DD471393D4B0}"/>
                </c:ext>
              </c:extLst>
            </c:dLbl>
            <c:dLbl>
              <c:idx val="1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9A8-4DE5-B5BD-DD471393D4B0}"/>
                </c:ext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9A8-4DE5-B5BD-DD471393D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'KS Wheat Tour_Kansas'!$AV$80:$AV$97</c:f>
              <c:numCache>
                <c:formatCode>0.0%</c:formatCode>
                <c:ptCount val="18"/>
                <c:pt idx="0">
                  <c:v>0.1638872915468661</c:v>
                </c:pt>
                <c:pt idx="1">
                  <c:v>-0.12926829268292672</c:v>
                </c:pt>
                <c:pt idx="2">
                  <c:v>9.3865484109386443E-2</c:v>
                </c:pt>
                <c:pt idx="3">
                  <c:v>-0.19166666666666665</c:v>
                </c:pt>
                <c:pt idx="4">
                  <c:v>0.17329093799682038</c:v>
                </c:pt>
                <c:pt idx="5">
                  <c:v>0.111578947368421</c:v>
                </c:pt>
                <c:pt idx="6">
                  <c:v>9.7527472527472625E-2</c:v>
                </c:pt>
                <c:pt idx="7">
                  <c:v>0.27202255109231843</c:v>
                </c:pt>
                <c:pt idx="8">
                  <c:v>-7.7777777777777724E-3</c:v>
                </c:pt>
                <c:pt idx="9">
                  <c:v>-9.5504123437084254E-2</c:v>
                </c:pt>
                <c:pt idx="10">
                  <c:v>-4.3333333333333446E-2</c:v>
                </c:pt>
                <c:pt idx="11">
                  <c:v>-5.9119496855345899E-2</c:v>
                </c:pt>
                <c:pt idx="12">
                  <c:v>1.2558869701726927E-2</c:v>
                </c:pt>
                <c:pt idx="13">
                  <c:v>-6.6645904702584913E-2</c:v>
                </c:pt>
                <c:pt idx="14">
                  <c:v>5.6818181818181657E-2</c:v>
                </c:pt>
                <c:pt idx="15">
                  <c:v>-0.15501708605156872</c:v>
                </c:pt>
                <c:pt idx="16">
                  <c:v>-0.24561403508771917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A8-4DE5-B5BD-DD471393D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550192"/>
        <c:axId val="433549800"/>
      </c:lineChart>
      <c:catAx>
        <c:axId val="43389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49408"/>
        <c:crosses val="autoZero"/>
        <c:auto val="1"/>
        <c:lblAlgn val="ctr"/>
        <c:lblOffset val="100"/>
        <c:noMultiLvlLbl val="0"/>
      </c:catAx>
      <c:valAx>
        <c:axId val="433549408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KS Wheat Production (Million Bushels)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94208"/>
        <c:crosses val="autoZero"/>
        <c:crossBetween val="between"/>
      </c:valAx>
      <c:valAx>
        <c:axId val="433549800"/>
        <c:scaling>
          <c:orientation val="minMax"/>
          <c:max val="1.8"/>
          <c:min val="-0.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Forecast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0192"/>
        <c:crosses val="max"/>
        <c:crossBetween val="between"/>
        <c:majorUnit val="0.2"/>
      </c:valAx>
      <c:catAx>
        <c:axId val="433550192"/>
        <c:scaling>
          <c:orientation val="minMax"/>
        </c:scaling>
        <c:delete val="1"/>
        <c:axPos val="b"/>
        <c:majorTickMark val="out"/>
        <c:minorTickMark val="none"/>
        <c:tickLblPos val="nextTo"/>
        <c:crossAx val="433549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1581046301251302E-3"/>
          <c:y val="0.8560813200057773"/>
          <c:w val="0.9917290981831155"/>
          <c:h val="0.12494334792591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HRW Wheat Production by State</a:t>
            </a:r>
            <a:r>
              <a:rPr lang="en-US" baseline="0"/>
              <a:t> </a:t>
            </a:r>
            <a:r>
              <a:rPr lang="en-US"/>
              <a:t>in KS, OK, TX, CO, &amp; NE (Years 2007-2017)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'HRW Wheat States 2007-2017'!$N$17</c:f>
              <c:strCache>
                <c:ptCount val="1"/>
                <c:pt idx="0">
                  <c:v>Kansas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2007-2017'!$N$18:$N$28</c:f>
              <c:numCache>
                <c:formatCode>0.0</c:formatCode>
                <c:ptCount val="11"/>
                <c:pt idx="0">
                  <c:v>283.8</c:v>
                </c:pt>
                <c:pt idx="1">
                  <c:v>360</c:v>
                </c:pt>
                <c:pt idx="2">
                  <c:v>375.9</c:v>
                </c:pt>
                <c:pt idx="3">
                  <c:v>360</c:v>
                </c:pt>
                <c:pt idx="4">
                  <c:v>278.25</c:v>
                </c:pt>
                <c:pt idx="5">
                  <c:v>382.2</c:v>
                </c:pt>
                <c:pt idx="6">
                  <c:v>321.10000000000002</c:v>
                </c:pt>
                <c:pt idx="7">
                  <c:v>246.4</c:v>
                </c:pt>
                <c:pt idx="8">
                  <c:v>321.89999999999998</c:v>
                </c:pt>
                <c:pt idx="9">
                  <c:v>467.4</c:v>
                </c:pt>
                <c:pt idx="10">
                  <c:v>281.7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1-42C1-9E12-213444DDF655}"/>
            </c:ext>
          </c:extLst>
        </c:ser>
        <c:ser>
          <c:idx val="1"/>
          <c:order val="1"/>
          <c:tx>
            <c:strRef>
              <c:f>'HRW Wheat States 2007-2017'!$O$17</c:f>
              <c:strCache>
                <c:ptCount val="1"/>
                <c:pt idx="0">
                  <c:v>Oklahoma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2007-2017'!$O$18:$O$28</c:f>
              <c:numCache>
                <c:formatCode>0.0</c:formatCode>
                <c:ptCount val="11"/>
                <c:pt idx="0">
                  <c:v>98</c:v>
                </c:pt>
                <c:pt idx="1">
                  <c:v>170.2</c:v>
                </c:pt>
                <c:pt idx="2">
                  <c:v>74.8</c:v>
                </c:pt>
                <c:pt idx="3">
                  <c:v>119.35</c:v>
                </c:pt>
                <c:pt idx="4">
                  <c:v>73.599999999999994</c:v>
                </c:pt>
                <c:pt idx="5">
                  <c:v>154.80000000000001</c:v>
                </c:pt>
                <c:pt idx="6">
                  <c:v>105.4</c:v>
                </c:pt>
                <c:pt idx="7">
                  <c:v>47.6</c:v>
                </c:pt>
                <c:pt idx="8">
                  <c:v>98.8</c:v>
                </c:pt>
                <c:pt idx="9">
                  <c:v>136.5</c:v>
                </c:pt>
                <c:pt idx="10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31-42C1-9E12-213444DDF655}"/>
            </c:ext>
          </c:extLst>
        </c:ser>
        <c:ser>
          <c:idx val="2"/>
          <c:order val="2"/>
          <c:tx>
            <c:strRef>
              <c:f>'HRW Wheat States 2007-2017'!$P$17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2007-2017'!$P$18:$P$28</c:f>
              <c:numCache>
                <c:formatCode>0.0</c:formatCode>
                <c:ptCount val="11"/>
                <c:pt idx="0">
                  <c:v>140.6</c:v>
                </c:pt>
                <c:pt idx="1">
                  <c:v>99</c:v>
                </c:pt>
                <c:pt idx="2">
                  <c:v>61.25</c:v>
                </c:pt>
                <c:pt idx="3">
                  <c:v>123.75</c:v>
                </c:pt>
                <c:pt idx="4">
                  <c:v>47.5</c:v>
                </c:pt>
                <c:pt idx="5">
                  <c:v>95.7</c:v>
                </c:pt>
                <c:pt idx="6">
                  <c:v>68.150000000000006</c:v>
                </c:pt>
                <c:pt idx="7">
                  <c:v>67.5</c:v>
                </c:pt>
                <c:pt idx="8">
                  <c:v>106.5</c:v>
                </c:pt>
                <c:pt idx="9">
                  <c:v>89.6</c:v>
                </c:pt>
                <c:pt idx="10">
                  <c:v>71.19502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31-42C1-9E12-213444DDF655}"/>
            </c:ext>
          </c:extLst>
        </c:ser>
        <c:ser>
          <c:idx val="3"/>
          <c:order val="3"/>
          <c:tx>
            <c:strRef>
              <c:f>'HRW Wheat States 2007-2017'!$Q$17</c:f>
              <c:strCache>
                <c:ptCount val="1"/>
                <c:pt idx="0">
                  <c:v>Colorado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2007-2017'!$Q$18:$Q$28</c:f>
              <c:numCache>
                <c:formatCode>0.0</c:formatCode>
                <c:ptCount val="11"/>
                <c:pt idx="0">
                  <c:v>92.98</c:v>
                </c:pt>
                <c:pt idx="1">
                  <c:v>61.6</c:v>
                </c:pt>
                <c:pt idx="2">
                  <c:v>101.41</c:v>
                </c:pt>
                <c:pt idx="3">
                  <c:v>103.35</c:v>
                </c:pt>
                <c:pt idx="4">
                  <c:v>77.828000000000003</c:v>
                </c:pt>
                <c:pt idx="5">
                  <c:v>69.268000000000001</c:v>
                </c:pt>
                <c:pt idx="6">
                  <c:v>41.488</c:v>
                </c:pt>
                <c:pt idx="7">
                  <c:v>89.811999999999998</c:v>
                </c:pt>
                <c:pt idx="8">
                  <c:v>81.484999999999999</c:v>
                </c:pt>
                <c:pt idx="9">
                  <c:v>106</c:v>
                </c:pt>
                <c:pt idx="10">
                  <c:v>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31-42C1-9E12-213444DDF655}"/>
            </c:ext>
          </c:extLst>
        </c:ser>
        <c:ser>
          <c:idx val="4"/>
          <c:order val="4"/>
          <c:tx>
            <c:strRef>
              <c:f>'HRW Wheat States 2007-2017'!$R$17</c:f>
              <c:strCache>
                <c:ptCount val="1"/>
                <c:pt idx="0">
                  <c:v>Nebraska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2007-2017'!$R$18:$R$28</c:f>
              <c:numCache>
                <c:formatCode>0.0</c:formatCode>
                <c:ptCount val="11"/>
                <c:pt idx="0">
                  <c:v>84.28</c:v>
                </c:pt>
                <c:pt idx="1">
                  <c:v>73.48</c:v>
                </c:pt>
                <c:pt idx="2">
                  <c:v>77.28</c:v>
                </c:pt>
                <c:pt idx="3">
                  <c:v>64.069999999999993</c:v>
                </c:pt>
                <c:pt idx="4">
                  <c:v>66.599999999999994</c:v>
                </c:pt>
                <c:pt idx="5">
                  <c:v>53.3</c:v>
                </c:pt>
                <c:pt idx="6">
                  <c:v>39.9</c:v>
                </c:pt>
                <c:pt idx="7">
                  <c:v>71.05</c:v>
                </c:pt>
                <c:pt idx="8">
                  <c:v>45.98</c:v>
                </c:pt>
                <c:pt idx="9">
                  <c:v>70.739999999999995</c:v>
                </c:pt>
                <c:pt idx="10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31-42C1-9E12-213444DDF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5067368"/>
        <c:axId val="365224864"/>
      </c:barChart>
      <c:catAx>
        <c:axId val="365067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224864"/>
        <c:crosses val="autoZero"/>
        <c:auto val="1"/>
        <c:lblAlgn val="ctr"/>
        <c:lblOffset val="100"/>
        <c:noMultiLvlLbl val="0"/>
      </c:catAx>
      <c:valAx>
        <c:axId val="36522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Bushels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6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HRW Wheat Production in KS, OK, TX, CO &amp; NE </a:t>
            </a:r>
          </a:p>
          <a:p>
            <a:pPr>
              <a:defRPr/>
            </a:pPr>
            <a:r>
              <a:rPr lang="en-US"/>
              <a:t>(Years 2007-2017)</a:t>
            </a:r>
          </a:p>
        </c:rich>
      </c:tx>
      <c:layout>
        <c:manualLayout>
          <c:xMode val="edge"/>
          <c:yMode val="edge"/>
          <c:x val="0.10804487067982482"/>
          <c:y val="2.4600246002460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'HRW Wheat States 2007-2017'!$N$17</c:f>
              <c:strCache>
                <c:ptCount val="1"/>
                <c:pt idx="0">
                  <c:v>Kansas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numFmt formatCode="#,##0.0" sourceLinked="0"/>
              <c:spPr>
                <a:solidFill>
                  <a:schemeClr val="accent1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5A0-4A46-A388-B13901F1989E}"/>
                </c:ext>
              </c:extLst>
            </c:dLbl>
            <c:numFmt formatCode="#,##0" sourceLinked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2007-2017'!$N$18:$N$28</c:f>
              <c:numCache>
                <c:formatCode>0.0</c:formatCode>
                <c:ptCount val="11"/>
                <c:pt idx="0">
                  <c:v>283.8</c:v>
                </c:pt>
                <c:pt idx="1">
                  <c:v>360</c:v>
                </c:pt>
                <c:pt idx="2">
                  <c:v>375.9</c:v>
                </c:pt>
                <c:pt idx="3">
                  <c:v>360</c:v>
                </c:pt>
                <c:pt idx="4">
                  <c:v>278.25</c:v>
                </c:pt>
                <c:pt idx="5">
                  <c:v>382.2</c:v>
                </c:pt>
                <c:pt idx="6">
                  <c:v>321.10000000000002</c:v>
                </c:pt>
                <c:pt idx="7">
                  <c:v>246.4</c:v>
                </c:pt>
                <c:pt idx="8">
                  <c:v>321.89999999999998</c:v>
                </c:pt>
                <c:pt idx="9">
                  <c:v>467.4</c:v>
                </c:pt>
                <c:pt idx="10">
                  <c:v>281.7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0-4A46-A388-B13901F1989E}"/>
            </c:ext>
          </c:extLst>
        </c:ser>
        <c:ser>
          <c:idx val="1"/>
          <c:order val="1"/>
          <c:tx>
            <c:strRef>
              <c:f>'HRW Wheat States 2007-2017'!$O$17</c:f>
              <c:strCache>
                <c:ptCount val="1"/>
                <c:pt idx="0">
                  <c:v>Oklahoma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2007-2017'!$O$18:$O$28</c:f>
              <c:numCache>
                <c:formatCode>0.0</c:formatCode>
                <c:ptCount val="11"/>
                <c:pt idx="0">
                  <c:v>98</c:v>
                </c:pt>
                <c:pt idx="1">
                  <c:v>170.2</c:v>
                </c:pt>
                <c:pt idx="2">
                  <c:v>74.8</c:v>
                </c:pt>
                <c:pt idx="3">
                  <c:v>119.35</c:v>
                </c:pt>
                <c:pt idx="4">
                  <c:v>73.599999999999994</c:v>
                </c:pt>
                <c:pt idx="5">
                  <c:v>154.80000000000001</c:v>
                </c:pt>
                <c:pt idx="6">
                  <c:v>105.4</c:v>
                </c:pt>
                <c:pt idx="7">
                  <c:v>47.6</c:v>
                </c:pt>
                <c:pt idx="8">
                  <c:v>98.8</c:v>
                </c:pt>
                <c:pt idx="9">
                  <c:v>136.5</c:v>
                </c:pt>
                <c:pt idx="10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0-4A46-A388-B13901F1989E}"/>
            </c:ext>
          </c:extLst>
        </c:ser>
        <c:ser>
          <c:idx val="2"/>
          <c:order val="2"/>
          <c:tx>
            <c:strRef>
              <c:f>'HRW Wheat States 2007-2017'!$P$17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2007-2017'!$P$18:$P$28</c:f>
              <c:numCache>
                <c:formatCode>0.0</c:formatCode>
                <c:ptCount val="11"/>
                <c:pt idx="0">
                  <c:v>140.6</c:v>
                </c:pt>
                <c:pt idx="1">
                  <c:v>99</c:v>
                </c:pt>
                <c:pt idx="2">
                  <c:v>61.25</c:v>
                </c:pt>
                <c:pt idx="3">
                  <c:v>123.75</c:v>
                </c:pt>
                <c:pt idx="4">
                  <c:v>47.5</c:v>
                </c:pt>
                <c:pt idx="5">
                  <c:v>95.7</c:v>
                </c:pt>
                <c:pt idx="6">
                  <c:v>68.150000000000006</c:v>
                </c:pt>
                <c:pt idx="7">
                  <c:v>67.5</c:v>
                </c:pt>
                <c:pt idx="8">
                  <c:v>106.5</c:v>
                </c:pt>
                <c:pt idx="9">
                  <c:v>89.6</c:v>
                </c:pt>
                <c:pt idx="10">
                  <c:v>71.19502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0-4A46-A388-B13901F1989E}"/>
            </c:ext>
          </c:extLst>
        </c:ser>
        <c:ser>
          <c:idx val="3"/>
          <c:order val="3"/>
          <c:tx>
            <c:strRef>
              <c:f>'HRW Wheat States 2007-2017'!$Q$17</c:f>
              <c:strCache>
                <c:ptCount val="1"/>
                <c:pt idx="0">
                  <c:v>Colorado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2007-2017'!$Q$18:$Q$28</c:f>
              <c:numCache>
                <c:formatCode>0.0</c:formatCode>
                <c:ptCount val="11"/>
                <c:pt idx="0">
                  <c:v>92.98</c:v>
                </c:pt>
                <c:pt idx="1">
                  <c:v>61.6</c:v>
                </c:pt>
                <c:pt idx="2">
                  <c:v>101.41</c:v>
                </c:pt>
                <c:pt idx="3">
                  <c:v>103.35</c:v>
                </c:pt>
                <c:pt idx="4">
                  <c:v>77.828000000000003</c:v>
                </c:pt>
                <c:pt idx="5">
                  <c:v>69.268000000000001</c:v>
                </c:pt>
                <c:pt idx="6">
                  <c:v>41.488</c:v>
                </c:pt>
                <c:pt idx="7">
                  <c:v>89.811999999999998</c:v>
                </c:pt>
                <c:pt idx="8">
                  <c:v>81.484999999999999</c:v>
                </c:pt>
                <c:pt idx="9">
                  <c:v>106</c:v>
                </c:pt>
                <c:pt idx="10">
                  <c:v>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A0-4A46-A388-B13901F1989E}"/>
            </c:ext>
          </c:extLst>
        </c:ser>
        <c:ser>
          <c:idx val="4"/>
          <c:order val="4"/>
          <c:tx>
            <c:strRef>
              <c:f>'HRW Wheat States 2007-2017'!$R$17</c:f>
              <c:strCache>
                <c:ptCount val="1"/>
                <c:pt idx="0">
                  <c:v>Nebraska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'HRW Wheat States 2007-2017'!$M$18:$M$28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'HRW Wheat States 2007-2017'!$R$18:$R$28</c:f>
              <c:numCache>
                <c:formatCode>0.0</c:formatCode>
                <c:ptCount val="11"/>
                <c:pt idx="0">
                  <c:v>84.28</c:v>
                </c:pt>
                <c:pt idx="1">
                  <c:v>73.48</c:v>
                </c:pt>
                <c:pt idx="2">
                  <c:v>77.28</c:v>
                </c:pt>
                <c:pt idx="3">
                  <c:v>64.069999999999993</c:v>
                </c:pt>
                <c:pt idx="4">
                  <c:v>66.599999999999994</c:v>
                </c:pt>
                <c:pt idx="5">
                  <c:v>53.3</c:v>
                </c:pt>
                <c:pt idx="6">
                  <c:v>39.9</c:v>
                </c:pt>
                <c:pt idx="7">
                  <c:v>71.05</c:v>
                </c:pt>
                <c:pt idx="8">
                  <c:v>45.98</c:v>
                </c:pt>
                <c:pt idx="9">
                  <c:v>70.739999999999995</c:v>
                </c:pt>
                <c:pt idx="10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A0-4A46-A388-B13901F19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225648"/>
        <c:axId val="365226040"/>
      </c:barChart>
      <c:lineChart>
        <c:grouping val="stacked"/>
        <c:varyColors val="0"/>
        <c:ser>
          <c:idx val="5"/>
          <c:order val="5"/>
          <c:tx>
            <c:strRef>
              <c:f>'HRW Wheat States 2007-2017'!$S$17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numFmt formatCode="#,##0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'HRW Wheat States 2007-2017'!$S$18:$S$28</c:f>
              <c:numCache>
                <c:formatCode>0.0</c:formatCode>
                <c:ptCount val="11"/>
                <c:pt idx="0">
                  <c:v>699.66</c:v>
                </c:pt>
                <c:pt idx="1">
                  <c:v>764.28000000000009</c:v>
                </c:pt>
                <c:pt idx="2">
                  <c:v>690.64</c:v>
                </c:pt>
                <c:pt idx="3">
                  <c:v>770.52</c:v>
                </c:pt>
                <c:pt idx="4">
                  <c:v>543.77800000000002</c:v>
                </c:pt>
                <c:pt idx="5">
                  <c:v>755.26800000000003</c:v>
                </c:pt>
                <c:pt idx="6">
                  <c:v>576.0379999999999</c:v>
                </c:pt>
                <c:pt idx="7">
                  <c:v>522.36199999999997</c:v>
                </c:pt>
                <c:pt idx="8">
                  <c:v>654.66500000000008</c:v>
                </c:pt>
                <c:pt idx="9">
                  <c:v>870.24</c:v>
                </c:pt>
                <c:pt idx="10">
                  <c:v>564.29501999999991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A0-4A46-A388-B13901F19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225648"/>
        <c:axId val="365226040"/>
      </c:lineChart>
      <c:catAx>
        <c:axId val="36522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226040"/>
        <c:crosses val="autoZero"/>
        <c:auto val="1"/>
        <c:lblAlgn val="ctr"/>
        <c:lblOffset val="100"/>
        <c:noMultiLvlLbl val="0"/>
      </c:catAx>
      <c:valAx>
        <c:axId val="36522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Bushels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22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327660</xdr:colOff>
      <xdr:row>58</xdr:row>
      <xdr:rowOff>0</xdr:rowOff>
    </xdr:from>
    <xdr:to>
      <xdr:col>23</xdr:col>
      <xdr:colOff>15240</xdr:colOff>
      <xdr:row>75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7620</xdr:colOff>
      <xdr:row>57</xdr:row>
      <xdr:rowOff>175260</xdr:rowOff>
    </xdr:from>
    <xdr:to>
      <xdr:col>42</xdr:col>
      <xdr:colOff>7620</xdr:colOff>
      <xdr:row>75</xdr:row>
      <xdr:rowOff>7620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48</xdr:col>
      <xdr:colOff>502920</xdr:colOff>
      <xdr:row>58</xdr:row>
      <xdr:rowOff>7620</xdr:rowOff>
    </xdr:from>
    <xdr:to>
      <xdr:col>56</xdr:col>
      <xdr:colOff>594360</xdr:colOff>
      <xdr:row>75</xdr:row>
      <xdr:rowOff>7620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327660</xdr:colOff>
      <xdr:row>77</xdr:row>
      <xdr:rowOff>175260</xdr:rowOff>
    </xdr:from>
    <xdr:to>
      <xdr:col>23</xdr:col>
      <xdr:colOff>0</xdr:colOff>
      <xdr:row>95</xdr:row>
      <xdr:rowOff>7620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7620</xdr:colOff>
      <xdr:row>77</xdr:row>
      <xdr:rowOff>175260</xdr:rowOff>
    </xdr:from>
    <xdr:to>
      <xdr:col>42</xdr:col>
      <xdr:colOff>7620</xdr:colOff>
      <xdr:row>95</xdr:row>
      <xdr:rowOff>7620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48</xdr:col>
      <xdr:colOff>502920</xdr:colOff>
      <xdr:row>78</xdr:row>
      <xdr:rowOff>7620</xdr:rowOff>
    </xdr:from>
    <xdr:to>
      <xdr:col>56</xdr:col>
      <xdr:colOff>594360</xdr:colOff>
      <xdr:row>95</xdr:row>
      <xdr:rowOff>7620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3810</xdr:rowOff>
    </xdr:from>
    <xdr:to>
      <xdr:col>18</xdr:col>
      <xdr:colOff>723900</xdr:colOff>
      <xdr:row>45</xdr:row>
      <xdr:rowOff>167640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7620</xdr:colOff>
      <xdr:row>47</xdr:row>
      <xdr:rowOff>3810</xdr:rowOff>
    </xdr:from>
    <xdr:to>
      <xdr:col>21</xdr:col>
      <xdr:colOff>7620</xdr:colOff>
      <xdr:row>63</xdr:row>
      <xdr:rowOff>175260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97"/>
  <sheetViews>
    <sheetView tabSelected="1" zoomScaleNormal="100" workbookViewId="0">
      <selection activeCell="AP10" sqref="AP10"/>
    </sheetView>
  </sheetViews>
  <sheetFormatPr defaultRowHeight="14.4" x14ac:dyDescent="0.3"/>
  <cols>
    <col min="1" max="10" width="10.77734375" customWidth="1"/>
    <col min="11" max="11" width="16.77734375" customWidth="1"/>
    <col min="12" max="15" width="15.77734375" customWidth="1"/>
    <col min="16" max="16" width="16.77734375" customWidth="1"/>
    <col min="17" max="19" width="15.77734375" customWidth="1"/>
    <col min="20" max="21" width="15.77734375" style="96" customWidth="1"/>
    <col min="22" max="24" width="15.77734375" customWidth="1"/>
    <col min="27" max="28" width="12.77734375" style="96" customWidth="1"/>
    <col min="29" max="29" width="10.77734375" style="10" customWidth="1"/>
    <col min="30" max="30" width="20.77734375" customWidth="1"/>
    <col min="31" max="37" width="15.77734375" customWidth="1"/>
    <col min="38" max="42" width="11.77734375" customWidth="1"/>
    <col min="43" max="44" width="10.77734375" style="10" customWidth="1"/>
    <col min="45" max="45" width="20.77734375" customWidth="1"/>
    <col min="46" max="46" width="15.77734375" customWidth="1"/>
    <col min="47" max="47" width="15.77734375" style="126" customWidth="1"/>
    <col min="48" max="48" width="15.77734375" customWidth="1"/>
    <col min="49" max="49" width="16.77734375" customWidth="1"/>
    <col min="50" max="52" width="15.77734375" customWidth="1"/>
    <col min="53" max="56" width="10.77734375" customWidth="1"/>
  </cols>
  <sheetData>
    <row r="1" spans="1:52" ht="21" x14ac:dyDescent="0.4">
      <c r="A1" s="130" t="s">
        <v>127</v>
      </c>
    </row>
    <row r="3" spans="1:52" s="200" customFormat="1" ht="18" x14ac:dyDescent="0.35">
      <c r="K3" s="201" t="s">
        <v>22</v>
      </c>
      <c r="T3" s="202"/>
      <c r="U3" s="202"/>
      <c r="AA3" s="202"/>
      <c r="AB3" s="202"/>
      <c r="AC3" s="203"/>
      <c r="AD3" s="201" t="s">
        <v>21</v>
      </c>
      <c r="AQ3" s="203"/>
      <c r="AR3" s="203"/>
      <c r="AS3" s="201" t="s">
        <v>23</v>
      </c>
      <c r="AU3" s="204"/>
    </row>
    <row r="4" spans="1:52" ht="15" thickBot="1" x14ac:dyDescent="0.35"/>
    <row r="5" spans="1:52" s="1" customFormat="1" ht="87" thickTop="1" x14ac:dyDescent="0.3">
      <c r="A5" s="283" t="s">
        <v>0</v>
      </c>
      <c r="B5" s="295" t="s">
        <v>53</v>
      </c>
      <c r="C5" s="284" t="s">
        <v>48</v>
      </c>
      <c r="D5" s="284" t="s">
        <v>54</v>
      </c>
      <c r="E5" s="297" t="s">
        <v>100</v>
      </c>
      <c r="F5" s="285" t="s">
        <v>101</v>
      </c>
      <c r="G5" s="299" t="s">
        <v>55</v>
      </c>
      <c r="H5" s="286" t="s">
        <v>49</v>
      </c>
      <c r="I5" s="287" t="s">
        <v>56</v>
      </c>
      <c r="K5" s="253" t="s">
        <v>0</v>
      </c>
      <c r="L5" s="15" t="s">
        <v>59</v>
      </c>
      <c r="M5" s="15" t="s">
        <v>58</v>
      </c>
      <c r="N5" s="249"/>
      <c r="O5" s="247" t="s">
        <v>62</v>
      </c>
      <c r="P5" s="25" t="s">
        <v>60</v>
      </c>
      <c r="Q5" s="25" t="s">
        <v>61</v>
      </c>
      <c r="R5" s="186" t="s">
        <v>66</v>
      </c>
      <c r="S5" s="187" t="s">
        <v>63</v>
      </c>
      <c r="T5" s="186" t="s">
        <v>67</v>
      </c>
      <c r="U5" s="262" t="s">
        <v>68</v>
      </c>
      <c r="V5" s="44" t="s">
        <v>71</v>
      </c>
      <c r="W5" s="44" t="s">
        <v>72</v>
      </c>
      <c r="X5" s="196" t="s">
        <v>73</v>
      </c>
      <c r="AA5" s="155"/>
      <c r="AB5" s="155"/>
      <c r="AC5" s="8"/>
      <c r="AD5" s="60" t="s">
        <v>0</v>
      </c>
      <c r="AE5" s="185" t="s">
        <v>92</v>
      </c>
      <c r="AF5" s="25" t="s">
        <v>77</v>
      </c>
      <c r="AG5" s="25" t="s">
        <v>78</v>
      </c>
      <c r="AH5" s="186" t="s">
        <v>79</v>
      </c>
      <c r="AI5" s="187" t="s">
        <v>80</v>
      </c>
      <c r="AJ5" s="186" t="s">
        <v>81</v>
      </c>
      <c r="AK5" s="212" t="s">
        <v>82</v>
      </c>
      <c r="AL5" s="155"/>
      <c r="AM5" s="155"/>
      <c r="AN5" s="155"/>
      <c r="AO5" s="155"/>
      <c r="AP5" s="155"/>
      <c r="AQ5" s="8"/>
      <c r="AR5" s="8"/>
      <c r="AS5" s="60" t="s">
        <v>0</v>
      </c>
      <c r="AT5" s="185" t="s">
        <v>93</v>
      </c>
      <c r="AU5" s="25" t="s">
        <v>85</v>
      </c>
      <c r="AV5" s="25" t="s">
        <v>86</v>
      </c>
      <c r="AW5" s="186" t="s">
        <v>87</v>
      </c>
      <c r="AX5" s="187" t="s">
        <v>88</v>
      </c>
      <c r="AY5" s="186" t="s">
        <v>90</v>
      </c>
      <c r="AZ5" s="212" t="s">
        <v>89</v>
      </c>
    </row>
    <row r="6" spans="1:52" s="5" customFormat="1" ht="20.399999999999999" x14ac:dyDescent="0.2">
      <c r="A6" s="313"/>
      <c r="B6" s="314" t="s">
        <v>51</v>
      </c>
      <c r="C6" s="16" t="s">
        <v>51</v>
      </c>
      <c r="D6" s="16" t="s">
        <v>51</v>
      </c>
      <c r="E6" s="26" t="s">
        <v>52</v>
      </c>
      <c r="F6" s="27" t="s">
        <v>102</v>
      </c>
      <c r="G6" s="36" t="s">
        <v>50</v>
      </c>
      <c r="H6" s="315" t="s">
        <v>50</v>
      </c>
      <c r="I6" s="316" t="s">
        <v>50</v>
      </c>
      <c r="K6" s="254"/>
      <c r="L6" s="16" t="s">
        <v>5</v>
      </c>
      <c r="M6" s="16" t="s">
        <v>5</v>
      </c>
      <c r="N6" s="250" t="s">
        <v>57</v>
      </c>
      <c r="O6" s="27" t="s">
        <v>5</v>
      </c>
      <c r="P6" s="27" t="s">
        <v>5</v>
      </c>
      <c r="Q6" s="27" t="s">
        <v>5</v>
      </c>
      <c r="R6" s="36" t="s">
        <v>64</v>
      </c>
      <c r="S6" s="37" t="s">
        <v>65</v>
      </c>
      <c r="T6" s="36" t="s">
        <v>69</v>
      </c>
      <c r="U6" s="263" t="s">
        <v>70</v>
      </c>
      <c r="V6" s="45" t="s">
        <v>6</v>
      </c>
      <c r="W6" s="45" t="s">
        <v>6</v>
      </c>
      <c r="X6" s="197" t="s">
        <v>6</v>
      </c>
      <c r="AA6" s="156"/>
      <c r="AB6" s="156"/>
      <c r="AC6" s="11"/>
      <c r="AD6" s="12"/>
      <c r="AE6" s="26" t="s">
        <v>10</v>
      </c>
      <c r="AF6" s="27" t="s">
        <v>10</v>
      </c>
      <c r="AG6" s="27" t="s">
        <v>10</v>
      </c>
      <c r="AH6" s="36" t="s">
        <v>64</v>
      </c>
      <c r="AI6" s="37" t="s">
        <v>65</v>
      </c>
      <c r="AJ6" s="36" t="s">
        <v>69</v>
      </c>
      <c r="AK6" s="70" t="s">
        <v>70</v>
      </c>
      <c r="AL6" s="156"/>
      <c r="AM6" s="156"/>
      <c r="AN6" s="156"/>
      <c r="AO6" s="156"/>
      <c r="AP6" s="156"/>
      <c r="AQ6" s="11"/>
      <c r="AR6" s="11"/>
      <c r="AS6" s="12"/>
      <c r="AT6" s="26" t="s">
        <v>84</v>
      </c>
      <c r="AU6" s="27" t="s">
        <v>84</v>
      </c>
      <c r="AV6" s="27" t="s">
        <v>84</v>
      </c>
      <c r="AW6" s="36" t="s">
        <v>64</v>
      </c>
      <c r="AX6" s="37" t="s">
        <v>65</v>
      </c>
      <c r="AY6" s="36" t="s">
        <v>69</v>
      </c>
      <c r="AZ6" s="70" t="s">
        <v>70</v>
      </c>
    </row>
    <row r="7" spans="1:52" x14ac:dyDescent="0.3">
      <c r="A7" s="288">
        <v>2000</v>
      </c>
      <c r="B7" s="296">
        <v>41.4</v>
      </c>
      <c r="C7" s="243">
        <v>37</v>
      </c>
      <c r="D7" s="62">
        <f>B7-C7</f>
        <v>4.3999999999999986</v>
      </c>
      <c r="E7" s="298">
        <f t="shared" ref="E7:E24" si="0">G7/B7</f>
        <v>9.2367149758454108</v>
      </c>
      <c r="F7" s="289">
        <f>E7/(L7/1000000)</f>
        <v>0.94252193631075609</v>
      </c>
      <c r="G7" s="300">
        <v>382.4</v>
      </c>
      <c r="H7" s="244">
        <v>347.8</v>
      </c>
      <c r="I7" s="290">
        <f>G7-H7</f>
        <v>34.599999999999966</v>
      </c>
      <c r="K7" s="255">
        <v>2000</v>
      </c>
      <c r="L7" s="18">
        <v>9800000</v>
      </c>
      <c r="M7" s="18">
        <v>9800000</v>
      </c>
      <c r="N7" s="251">
        <f>L7-M7</f>
        <v>0</v>
      </c>
      <c r="O7" s="28">
        <f>E7*1000000</f>
        <v>9236714.9758454114</v>
      </c>
      <c r="P7" s="28">
        <v>9200000</v>
      </c>
      <c r="Q7" s="28">
        <v>9400000</v>
      </c>
      <c r="R7" s="38">
        <f>O7-P7</f>
        <v>36714.97584541142</v>
      </c>
      <c r="S7" s="39">
        <f>(O7/P7)-1</f>
        <v>3.9907582440663614E-3</v>
      </c>
      <c r="T7" s="38">
        <f>O7-Q7</f>
        <v>-163285.02415458858</v>
      </c>
      <c r="U7" s="120">
        <f>(O7/Q7)-1</f>
        <v>-1.737074725048815E-2</v>
      </c>
      <c r="V7" s="47">
        <f>O7/L7</f>
        <v>0.94252193631075631</v>
      </c>
      <c r="W7" s="47">
        <f>P7/L7</f>
        <v>0.93877551020408168</v>
      </c>
      <c r="X7" s="198">
        <f t="shared" ref="X7" si="1">Q7/M7</f>
        <v>0.95918367346938771</v>
      </c>
      <c r="AA7" s="157"/>
      <c r="AB7" s="157"/>
      <c r="AC7" s="9"/>
      <c r="AD7" s="13">
        <v>2000</v>
      </c>
      <c r="AE7" s="209">
        <f t="shared" ref="AE7:AE21" si="2">B7</f>
        <v>41.4</v>
      </c>
      <c r="AF7" s="31">
        <v>44</v>
      </c>
      <c r="AG7" s="210">
        <f>C7</f>
        <v>37</v>
      </c>
      <c r="AH7" s="71">
        <f>AE7-AF7</f>
        <v>-2.6000000000000014</v>
      </c>
      <c r="AI7" s="39">
        <f>(AE7/AF7)-1</f>
        <v>-5.9090909090909083E-2</v>
      </c>
      <c r="AJ7" s="71">
        <f>AE7-AG7</f>
        <v>4.3999999999999986</v>
      </c>
      <c r="AK7" s="72">
        <f>(AE7/AG7)-1</f>
        <v>0.11891891891891881</v>
      </c>
      <c r="AL7" s="157"/>
      <c r="AM7" s="157"/>
      <c r="AN7" s="157"/>
      <c r="AO7" s="157"/>
      <c r="AP7" s="157"/>
      <c r="AQ7" s="9"/>
      <c r="AR7" s="9"/>
      <c r="AS7" s="13">
        <v>2000</v>
      </c>
      <c r="AT7" s="209">
        <f>G7</f>
        <v>382.4</v>
      </c>
      <c r="AU7" s="213">
        <v>404.8</v>
      </c>
      <c r="AV7" s="214">
        <f>H7</f>
        <v>347.8</v>
      </c>
      <c r="AW7" s="71">
        <f>AT7-AU7</f>
        <v>-22.400000000000034</v>
      </c>
      <c r="AX7" s="39">
        <f>(AT7/AU7)-1</f>
        <v>-5.5335968379446765E-2</v>
      </c>
      <c r="AY7" s="71">
        <f>AT7-AV7</f>
        <v>34.599999999999966</v>
      </c>
      <c r="AZ7" s="72">
        <f>(AT7/AV7)-1</f>
        <v>9.9482461184588811E-2</v>
      </c>
    </row>
    <row r="8" spans="1:52" x14ac:dyDescent="0.3">
      <c r="A8" s="288">
        <v>2001</v>
      </c>
      <c r="B8" s="296">
        <v>32.700000000000003</v>
      </c>
      <c r="C8" s="243">
        <v>40</v>
      </c>
      <c r="D8" s="62">
        <f t="shared" ref="D8:D23" si="3">B8-C8</f>
        <v>-7.2999999999999972</v>
      </c>
      <c r="E8" s="298">
        <f t="shared" si="0"/>
        <v>8.4892966360856263</v>
      </c>
      <c r="F8" s="289">
        <f>E8/(L8/1000000)</f>
        <v>0.85750471071571976</v>
      </c>
      <c r="G8" s="300">
        <v>277.60000000000002</v>
      </c>
      <c r="H8" s="244">
        <v>328</v>
      </c>
      <c r="I8" s="290">
        <f t="shared" ref="I8:I23" si="4">G8-H8</f>
        <v>-50.399999999999977</v>
      </c>
      <c r="K8" s="255">
        <v>2001</v>
      </c>
      <c r="L8" s="18">
        <v>9900000</v>
      </c>
      <c r="M8" s="18">
        <v>9800000</v>
      </c>
      <c r="N8" s="251">
        <f t="shared" ref="N8:N23" si="5">L8-M8</f>
        <v>100000</v>
      </c>
      <c r="O8" s="28">
        <f t="shared" ref="O8:O21" si="6">E8*1000000</f>
        <v>8489296.6360856257</v>
      </c>
      <c r="P8" s="28">
        <v>8400000</v>
      </c>
      <c r="Q8" s="28">
        <v>8200000</v>
      </c>
      <c r="R8" s="38">
        <f t="shared" ref="R8:R23" si="7">O8-P8</f>
        <v>89296.636085625738</v>
      </c>
      <c r="S8" s="39">
        <f t="shared" ref="S8:S23" si="8">(O8/P8)-1</f>
        <v>1.0630551914955433E-2</v>
      </c>
      <c r="T8" s="38">
        <f t="shared" ref="T8:T23" si="9">O8-Q8</f>
        <v>289296.63608562574</v>
      </c>
      <c r="U8" s="120">
        <f t="shared" ref="U8:U23" si="10">(O8/Q8)-1</f>
        <v>3.5280077571417712E-2</v>
      </c>
      <c r="V8" s="47">
        <f t="shared" ref="V8:V24" si="11">O8/L8</f>
        <v>0.85750471071571976</v>
      </c>
      <c r="W8" s="47">
        <f t="shared" ref="W8:W23" si="12">P8/L8</f>
        <v>0.84848484848484851</v>
      </c>
      <c r="X8" s="198">
        <f t="shared" ref="X8:X23" si="13">Q8/M8</f>
        <v>0.83673469387755106</v>
      </c>
      <c r="AA8" s="157"/>
      <c r="AB8" s="157"/>
      <c r="AC8" s="9"/>
      <c r="AD8" s="13">
        <v>2001</v>
      </c>
      <c r="AE8" s="209">
        <f t="shared" si="2"/>
        <v>32.700000000000003</v>
      </c>
      <c r="AF8" s="31">
        <v>34</v>
      </c>
      <c r="AG8" s="210">
        <f t="shared" ref="AG8:AG22" si="14">C8</f>
        <v>40</v>
      </c>
      <c r="AH8" s="71">
        <f t="shared" ref="AH8:AH22" si="15">AE8-AF8</f>
        <v>-1.2999999999999972</v>
      </c>
      <c r="AI8" s="39">
        <f t="shared" ref="AI8:AI22" si="16">(AE8/AF8)-1</f>
        <v>-3.8235294117646923E-2</v>
      </c>
      <c r="AJ8" s="71">
        <f t="shared" ref="AJ8:AJ22" si="17">AE8-AG8</f>
        <v>-7.2999999999999972</v>
      </c>
      <c r="AK8" s="72">
        <f t="shared" ref="AK8:AK22" si="18">(AE8/AG8)-1</f>
        <v>-0.18249999999999988</v>
      </c>
      <c r="AL8" s="157"/>
      <c r="AM8" s="157"/>
      <c r="AN8" s="157"/>
      <c r="AO8" s="157"/>
      <c r="AP8" s="157"/>
      <c r="AQ8" s="9"/>
      <c r="AR8" s="9"/>
      <c r="AS8" s="13">
        <v>2001</v>
      </c>
      <c r="AT8" s="209">
        <f>G8</f>
        <v>277.60000000000002</v>
      </c>
      <c r="AU8" s="213">
        <v>285.60000000000002</v>
      </c>
      <c r="AV8" s="214">
        <f>H8</f>
        <v>328</v>
      </c>
      <c r="AW8" s="71">
        <f t="shared" ref="AW8:AW22" si="19">AT8-AU8</f>
        <v>-8</v>
      </c>
      <c r="AX8" s="39">
        <f t="shared" ref="AX8:AX22" si="20">(AT8/AU8)-1</f>
        <v>-2.8011204481792729E-2</v>
      </c>
      <c r="AY8" s="71">
        <f t="shared" ref="AY8:AY22" si="21">AT8-AV8</f>
        <v>-50.399999999999977</v>
      </c>
      <c r="AZ8" s="72">
        <f t="shared" ref="AZ8:AZ22" si="22">(AT8/AV8)-1</f>
        <v>-0.15365853658536577</v>
      </c>
    </row>
    <row r="9" spans="1:52" x14ac:dyDescent="0.3">
      <c r="A9" s="288">
        <v>2002</v>
      </c>
      <c r="B9" s="296">
        <v>35.6</v>
      </c>
      <c r="C9" s="243">
        <v>33</v>
      </c>
      <c r="D9" s="62">
        <f t="shared" si="3"/>
        <v>2.6000000000000014</v>
      </c>
      <c r="E9" s="298">
        <f t="shared" si="0"/>
        <v>8.3426966292134832</v>
      </c>
      <c r="F9" s="289">
        <f t="shared" ref="F9:F24" si="23">E9/(L9/1000000)</f>
        <v>0.8875209180014344</v>
      </c>
      <c r="G9" s="300">
        <v>297</v>
      </c>
      <c r="H9" s="244">
        <v>270.60000000000002</v>
      </c>
      <c r="I9" s="290">
        <f t="shared" si="4"/>
        <v>26.399999999999977</v>
      </c>
      <c r="K9" s="255">
        <v>2002</v>
      </c>
      <c r="L9" s="18">
        <v>9400000</v>
      </c>
      <c r="M9" s="18">
        <v>9700000</v>
      </c>
      <c r="N9" s="251">
        <f t="shared" si="5"/>
        <v>-300000</v>
      </c>
      <c r="O9" s="28">
        <f t="shared" si="6"/>
        <v>8342696.6292134831</v>
      </c>
      <c r="P9" s="28">
        <v>8000000</v>
      </c>
      <c r="Q9" s="28">
        <v>8200000</v>
      </c>
      <c r="R9" s="38">
        <f t="shared" si="7"/>
        <v>342696.62921348307</v>
      </c>
      <c r="S9" s="39">
        <f t="shared" si="8"/>
        <v>4.2837078651685401E-2</v>
      </c>
      <c r="T9" s="38">
        <f t="shared" si="9"/>
        <v>142696.62921348307</v>
      </c>
      <c r="U9" s="120">
        <f t="shared" si="10"/>
        <v>1.7402027952863719E-2</v>
      </c>
      <c r="V9" s="47">
        <f t="shared" si="11"/>
        <v>0.8875209180014344</v>
      </c>
      <c r="W9" s="47">
        <f t="shared" si="12"/>
        <v>0.85106382978723405</v>
      </c>
      <c r="X9" s="198">
        <f t="shared" si="13"/>
        <v>0.84536082474226804</v>
      </c>
      <c r="AA9" s="157"/>
      <c r="AB9" s="157"/>
      <c r="AC9" s="9"/>
      <c r="AD9" s="13">
        <v>2002</v>
      </c>
      <c r="AE9" s="209">
        <f t="shared" si="2"/>
        <v>35.6</v>
      </c>
      <c r="AF9" s="31">
        <v>37</v>
      </c>
      <c r="AG9" s="210">
        <f t="shared" si="14"/>
        <v>33</v>
      </c>
      <c r="AH9" s="71">
        <f t="shared" si="15"/>
        <v>-1.3999999999999986</v>
      </c>
      <c r="AI9" s="39">
        <f t="shared" si="16"/>
        <v>-3.7837837837837784E-2</v>
      </c>
      <c r="AJ9" s="71">
        <f t="shared" si="17"/>
        <v>2.6000000000000014</v>
      </c>
      <c r="AK9" s="72">
        <f t="shared" si="18"/>
        <v>7.8787878787878851E-2</v>
      </c>
      <c r="AL9" s="157"/>
      <c r="AM9" s="157"/>
      <c r="AN9" s="157"/>
      <c r="AO9" s="157"/>
      <c r="AP9" s="157"/>
      <c r="AQ9" s="9"/>
      <c r="AR9" s="9"/>
      <c r="AS9" s="13">
        <v>2002</v>
      </c>
      <c r="AT9" s="209">
        <f>G9</f>
        <v>297</v>
      </c>
      <c r="AU9" s="213">
        <v>296</v>
      </c>
      <c r="AV9" s="214">
        <f>H9</f>
        <v>270.60000000000002</v>
      </c>
      <c r="AW9" s="71">
        <f t="shared" si="19"/>
        <v>1</v>
      </c>
      <c r="AX9" s="39">
        <f t="shared" si="20"/>
        <v>3.3783783783782884E-3</v>
      </c>
      <c r="AY9" s="71">
        <f t="shared" si="21"/>
        <v>26.399999999999977</v>
      </c>
      <c r="AZ9" s="72">
        <f t="shared" si="22"/>
        <v>9.7560975609755962E-2</v>
      </c>
    </row>
    <row r="10" spans="1:52" x14ac:dyDescent="0.3">
      <c r="A10" s="288">
        <v>2003</v>
      </c>
      <c r="B10" s="296">
        <v>38.799999999999997</v>
      </c>
      <c r="C10" s="243">
        <v>48</v>
      </c>
      <c r="D10" s="62">
        <f t="shared" si="3"/>
        <v>-9.2000000000000028</v>
      </c>
      <c r="E10" s="298">
        <f t="shared" si="0"/>
        <v>9.3814432989690726</v>
      </c>
      <c r="F10" s="289">
        <f t="shared" si="23"/>
        <v>0.91081973776398761</v>
      </c>
      <c r="G10" s="300">
        <v>364</v>
      </c>
      <c r="H10" s="244">
        <v>480</v>
      </c>
      <c r="I10" s="290">
        <f t="shared" si="4"/>
        <v>-116</v>
      </c>
      <c r="K10" s="255">
        <v>2003</v>
      </c>
      <c r="L10" s="18">
        <v>10300000</v>
      </c>
      <c r="M10" s="18">
        <v>10500000</v>
      </c>
      <c r="N10" s="251">
        <f t="shared" si="5"/>
        <v>-200000</v>
      </c>
      <c r="O10" s="28">
        <f t="shared" si="6"/>
        <v>9381443.2989690732</v>
      </c>
      <c r="P10" s="28">
        <v>9700000</v>
      </c>
      <c r="Q10" s="28">
        <v>10000000</v>
      </c>
      <c r="R10" s="38">
        <f t="shared" si="7"/>
        <v>-318556.70103092678</v>
      </c>
      <c r="S10" s="39">
        <f t="shared" si="8"/>
        <v>-3.2840897013497572E-2</v>
      </c>
      <c r="T10" s="38">
        <f t="shared" si="9"/>
        <v>-618556.70103092678</v>
      </c>
      <c r="U10" s="120">
        <f t="shared" si="10"/>
        <v>-6.1855670103092675E-2</v>
      </c>
      <c r="V10" s="47">
        <f t="shared" si="11"/>
        <v>0.91081973776398772</v>
      </c>
      <c r="W10" s="47">
        <f t="shared" si="12"/>
        <v>0.94174757281553401</v>
      </c>
      <c r="X10" s="198">
        <f t="shared" si="13"/>
        <v>0.95238095238095233</v>
      </c>
      <c r="AA10" s="157"/>
      <c r="AB10" s="157"/>
      <c r="AC10" s="9"/>
      <c r="AD10" s="13">
        <v>2003</v>
      </c>
      <c r="AE10" s="209">
        <f t="shared" si="2"/>
        <v>38.799999999999997</v>
      </c>
      <c r="AF10" s="31">
        <v>40</v>
      </c>
      <c r="AG10" s="210">
        <f t="shared" si="14"/>
        <v>48</v>
      </c>
      <c r="AH10" s="71">
        <f t="shared" si="15"/>
        <v>-1.2000000000000028</v>
      </c>
      <c r="AI10" s="39">
        <f t="shared" si="16"/>
        <v>-3.0000000000000027E-2</v>
      </c>
      <c r="AJ10" s="71">
        <f t="shared" si="17"/>
        <v>-9.2000000000000028</v>
      </c>
      <c r="AK10" s="72">
        <f t="shared" si="18"/>
        <v>-0.19166666666666676</v>
      </c>
      <c r="AL10" s="157"/>
      <c r="AM10" s="157"/>
      <c r="AN10" s="157"/>
      <c r="AO10" s="157"/>
      <c r="AP10" s="157"/>
      <c r="AQ10" s="9"/>
      <c r="AR10" s="9"/>
      <c r="AS10" s="13">
        <v>2003</v>
      </c>
      <c r="AT10" s="209">
        <f>G10</f>
        <v>364</v>
      </c>
      <c r="AU10" s="213">
        <v>388</v>
      </c>
      <c r="AV10" s="215">
        <f>H10</f>
        <v>480</v>
      </c>
      <c r="AW10" s="71">
        <f t="shared" si="19"/>
        <v>-24</v>
      </c>
      <c r="AX10" s="39">
        <f t="shared" si="20"/>
        <v>-6.1855670103092786E-2</v>
      </c>
      <c r="AY10" s="71">
        <f t="shared" si="21"/>
        <v>-116</v>
      </c>
      <c r="AZ10" s="72">
        <f t="shared" si="22"/>
        <v>-0.2416666666666667</v>
      </c>
    </row>
    <row r="11" spans="1:52" x14ac:dyDescent="0.3">
      <c r="A11" s="288">
        <v>2004</v>
      </c>
      <c r="B11" s="296">
        <v>37.4</v>
      </c>
      <c r="C11" s="243">
        <v>37</v>
      </c>
      <c r="D11" s="62">
        <f t="shared" si="3"/>
        <v>0.39999999999999858</v>
      </c>
      <c r="E11" s="298">
        <f t="shared" si="0"/>
        <v>9.4919786096256686</v>
      </c>
      <c r="F11" s="289">
        <f t="shared" si="23"/>
        <v>0.95878571814400693</v>
      </c>
      <c r="G11" s="300">
        <v>355</v>
      </c>
      <c r="H11" s="244">
        <v>314.5</v>
      </c>
      <c r="I11" s="290">
        <f t="shared" si="4"/>
        <v>40.5</v>
      </c>
      <c r="K11" s="255">
        <v>2004</v>
      </c>
      <c r="L11" s="18">
        <v>9900000</v>
      </c>
      <c r="M11" s="18">
        <v>10000000</v>
      </c>
      <c r="N11" s="251">
        <f t="shared" si="5"/>
        <v>-100000</v>
      </c>
      <c r="O11" s="28">
        <f t="shared" si="6"/>
        <v>9491978.6096256692</v>
      </c>
      <c r="P11" s="28">
        <v>9000000</v>
      </c>
      <c r="Q11" s="28">
        <v>8500000</v>
      </c>
      <c r="R11" s="38">
        <f t="shared" si="7"/>
        <v>491978.6096256692</v>
      </c>
      <c r="S11" s="39">
        <f t="shared" si="8"/>
        <v>5.4664289958407775E-2</v>
      </c>
      <c r="T11" s="38">
        <f t="shared" si="9"/>
        <v>991978.6096256692</v>
      </c>
      <c r="U11" s="120">
        <f t="shared" si="10"/>
        <v>0.11670336583831409</v>
      </c>
      <c r="V11" s="47">
        <f t="shared" si="11"/>
        <v>0.95878571814400704</v>
      </c>
      <c r="W11" s="47">
        <f t="shared" si="12"/>
        <v>0.90909090909090906</v>
      </c>
      <c r="X11" s="198">
        <f t="shared" si="13"/>
        <v>0.85</v>
      </c>
      <c r="AA11" s="157"/>
      <c r="AB11" s="157"/>
      <c r="AC11" s="9"/>
      <c r="AD11" s="13">
        <v>2004</v>
      </c>
      <c r="AE11" s="209">
        <f t="shared" si="2"/>
        <v>37.4</v>
      </c>
      <c r="AF11" s="31">
        <v>41</v>
      </c>
      <c r="AG11" s="210">
        <f t="shared" si="14"/>
        <v>37</v>
      </c>
      <c r="AH11" s="71">
        <f t="shared" si="15"/>
        <v>-3.6000000000000014</v>
      </c>
      <c r="AI11" s="39">
        <f t="shared" si="16"/>
        <v>-8.7804878048780566E-2</v>
      </c>
      <c r="AJ11" s="71">
        <f t="shared" si="17"/>
        <v>0.39999999999999858</v>
      </c>
      <c r="AK11" s="72">
        <f t="shared" si="18"/>
        <v>1.08108108108107E-2</v>
      </c>
      <c r="AL11" s="157"/>
      <c r="AM11" s="157"/>
      <c r="AN11" s="157"/>
      <c r="AO11" s="157"/>
      <c r="AP11" s="157"/>
      <c r="AQ11" s="9"/>
      <c r="AR11" s="9"/>
      <c r="AS11" s="13">
        <v>2004</v>
      </c>
      <c r="AT11" s="209">
        <f>G11</f>
        <v>355</v>
      </c>
      <c r="AU11" s="213">
        <v>369</v>
      </c>
      <c r="AV11" s="214">
        <f>H11</f>
        <v>314.5</v>
      </c>
      <c r="AW11" s="71">
        <f t="shared" si="19"/>
        <v>-14</v>
      </c>
      <c r="AX11" s="39">
        <f t="shared" si="20"/>
        <v>-3.7940379403794022E-2</v>
      </c>
      <c r="AY11" s="71">
        <f t="shared" si="21"/>
        <v>40.5</v>
      </c>
      <c r="AZ11" s="72">
        <f t="shared" si="22"/>
        <v>0.12877583465818754</v>
      </c>
    </row>
    <row r="12" spans="1:52" x14ac:dyDescent="0.3">
      <c r="A12" s="288">
        <v>2005</v>
      </c>
      <c r="B12" s="296">
        <v>46.2</v>
      </c>
      <c r="C12" s="243">
        <v>40</v>
      </c>
      <c r="D12" s="62">
        <f t="shared" si="3"/>
        <v>6.2000000000000028</v>
      </c>
      <c r="E12" s="298">
        <f t="shared" si="0"/>
        <v>9.0857142857142854</v>
      </c>
      <c r="F12" s="289">
        <f t="shared" si="23"/>
        <v>0.89957567185289955</v>
      </c>
      <c r="G12" s="300">
        <v>419.76</v>
      </c>
      <c r="H12" s="244">
        <v>380</v>
      </c>
      <c r="I12" s="290">
        <f t="shared" si="4"/>
        <v>39.759999999999991</v>
      </c>
      <c r="K12" s="255">
        <v>2005</v>
      </c>
      <c r="L12" s="18">
        <v>10100000</v>
      </c>
      <c r="M12" s="18">
        <v>10000000</v>
      </c>
      <c r="N12" s="251">
        <f t="shared" si="5"/>
        <v>100000</v>
      </c>
      <c r="O12" s="28">
        <f t="shared" si="6"/>
        <v>9085714.2857142854</v>
      </c>
      <c r="P12" s="28">
        <v>9600000</v>
      </c>
      <c r="Q12" s="28">
        <v>9500000</v>
      </c>
      <c r="R12" s="38">
        <f t="shared" si="7"/>
        <v>-514285.71428571455</v>
      </c>
      <c r="S12" s="39">
        <f t="shared" si="8"/>
        <v>-5.3571428571428603E-2</v>
      </c>
      <c r="T12" s="38">
        <f t="shared" si="9"/>
        <v>-414285.71428571455</v>
      </c>
      <c r="U12" s="120">
        <f t="shared" si="10"/>
        <v>-4.3609022556390986E-2</v>
      </c>
      <c r="V12" s="47">
        <f t="shared" si="11"/>
        <v>0.89957567185289955</v>
      </c>
      <c r="W12" s="47">
        <f t="shared" si="12"/>
        <v>0.95049504950495045</v>
      </c>
      <c r="X12" s="198">
        <f t="shared" si="13"/>
        <v>0.95</v>
      </c>
      <c r="AA12" s="157"/>
      <c r="AB12" s="157"/>
      <c r="AC12" s="9"/>
      <c r="AD12" s="13">
        <v>2005</v>
      </c>
      <c r="AE12" s="209">
        <f t="shared" si="2"/>
        <v>46.2</v>
      </c>
      <c r="AF12" s="31">
        <v>44</v>
      </c>
      <c r="AG12" s="210">
        <f t="shared" si="14"/>
        <v>40</v>
      </c>
      <c r="AH12" s="71">
        <f t="shared" si="15"/>
        <v>2.2000000000000028</v>
      </c>
      <c r="AI12" s="39">
        <f t="shared" si="16"/>
        <v>5.0000000000000044E-2</v>
      </c>
      <c r="AJ12" s="71">
        <f t="shared" si="17"/>
        <v>6.2000000000000028</v>
      </c>
      <c r="AK12" s="72">
        <f t="shared" si="18"/>
        <v>0.15500000000000003</v>
      </c>
      <c r="AL12" s="157"/>
      <c r="AM12" s="157"/>
      <c r="AN12" s="157"/>
      <c r="AO12" s="157"/>
      <c r="AP12" s="157"/>
      <c r="AQ12" s="9"/>
      <c r="AR12" s="9"/>
      <c r="AS12" s="13">
        <v>2005</v>
      </c>
      <c r="AT12" s="209">
        <f>G12</f>
        <v>419.76</v>
      </c>
      <c r="AU12" s="213">
        <v>422.4</v>
      </c>
      <c r="AV12" s="215">
        <f>H12</f>
        <v>380</v>
      </c>
      <c r="AW12" s="71">
        <f t="shared" si="19"/>
        <v>-2.6399999999999864</v>
      </c>
      <c r="AX12" s="39">
        <f t="shared" si="20"/>
        <v>-6.2499999999999778E-3</v>
      </c>
      <c r="AY12" s="71">
        <f t="shared" si="21"/>
        <v>39.759999999999991</v>
      </c>
      <c r="AZ12" s="72">
        <f t="shared" si="22"/>
        <v>0.10463157894736841</v>
      </c>
    </row>
    <row r="13" spans="1:52" x14ac:dyDescent="0.3">
      <c r="A13" s="288">
        <v>2006</v>
      </c>
      <c r="B13" s="296">
        <v>37.299999999999997</v>
      </c>
      <c r="C13" s="243">
        <v>32</v>
      </c>
      <c r="D13" s="62">
        <f t="shared" si="3"/>
        <v>5.2999999999999972</v>
      </c>
      <c r="E13" s="298">
        <f t="shared" si="0"/>
        <v>8.558176943699733</v>
      </c>
      <c r="F13" s="289">
        <f t="shared" si="23"/>
        <v>0.83903695526467981</v>
      </c>
      <c r="G13" s="300">
        <v>319.22000000000003</v>
      </c>
      <c r="H13" s="244">
        <v>291.2</v>
      </c>
      <c r="I13" s="290">
        <f t="shared" si="4"/>
        <v>28.020000000000039</v>
      </c>
      <c r="K13" s="255">
        <v>2006</v>
      </c>
      <c r="L13" s="18">
        <v>10200000</v>
      </c>
      <c r="M13" s="18">
        <v>9800000</v>
      </c>
      <c r="N13" s="251">
        <f t="shared" si="5"/>
        <v>400000</v>
      </c>
      <c r="O13" s="28">
        <f t="shared" si="6"/>
        <v>8558176.9436997324</v>
      </c>
      <c r="P13" s="28">
        <v>9400000</v>
      </c>
      <c r="Q13" s="28">
        <v>9100000</v>
      </c>
      <c r="R13" s="38">
        <f t="shared" si="7"/>
        <v>-841823.05630026758</v>
      </c>
      <c r="S13" s="39">
        <f t="shared" si="8"/>
        <v>-8.9555644287262481E-2</v>
      </c>
      <c r="T13" s="38">
        <f t="shared" si="9"/>
        <v>-541823.05630026758</v>
      </c>
      <c r="U13" s="120">
        <f t="shared" si="10"/>
        <v>-5.9540995197831625E-2</v>
      </c>
      <c r="V13" s="47">
        <f t="shared" si="11"/>
        <v>0.8390369552646797</v>
      </c>
      <c r="W13" s="47">
        <f t="shared" si="12"/>
        <v>0.92156862745098034</v>
      </c>
      <c r="X13" s="198">
        <f t="shared" si="13"/>
        <v>0.9285714285714286</v>
      </c>
      <c r="AA13" s="157"/>
      <c r="AB13" s="157"/>
      <c r="AC13" s="9"/>
      <c r="AD13" s="13">
        <v>2006</v>
      </c>
      <c r="AE13" s="209">
        <f t="shared" si="2"/>
        <v>37.299999999999997</v>
      </c>
      <c r="AF13" s="31">
        <v>34</v>
      </c>
      <c r="AG13" s="210">
        <f t="shared" si="14"/>
        <v>32</v>
      </c>
      <c r="AH13" s="71">
        <f t="shared" si="15"/>
        <v>3.2999999999999972</v>
      </c>
      <c r="AI13" s="39">
        <f t="shared" si="16"/>
        <v>9.7058823529411642E-2</v>
      </c>
      <c r="AJ13" s="71">
        <f t="shared" si="17"/>
        <v>5.2999999999999972</v>
      </c>
      <c r="AK13" s="72">
        <f t="shared" si="18"/>
        <v>0.16562499999999991</v>
      </c>
      <c r="AL13" s="157"/>
      <c r="AM13" s="157"/>
      <c r="AN13" s="157"/>
      <c r="AO13" s="157"/>
      <c r="AP13" s="157"/>
      <c r="AQ13" s="9"/>
      <c r="AR13" s="9"/>
      <c r="AS13" s="13">
        <v>2006</v>
      </c>
      <c r="AT13" s="209">
        <f>G13</f>
        <v>319.22000000000003</v>
      </c>
      <c r="AU13" s="213">
        <v>319.60000000000002</v>
      </c>
      <c r="AV13" s="214">
        <f>H13</f>
        <v>291.2</v>
      </c>
      <c r="AW13" s="71">
        <f t="shared" si="19"/>
        <v>-0.37999999999999545</v>
      </c>
      <c r="AX13" s="39">
        <f t="shared" si="20"/>
        <v>-1.1889862327909562E-3</v>
      </c>
      <c r="AY13" s="71">
        <f t="shared" si="21"/>
        <v>28.020000000000039</v>
      </c>
      <c r="AZ13" s="72">
        <f t="shared" si="22"/>
        <v>9.6222527472527686E-2</v>
      </c>
    </row>
    <row r="14" spans="1:52" x14ac:dyDescent="0.3">
      <c r="A14" s="288">
        <v>2007</v>
      </c>
      <c r="B14" s="296">
        <v>41</v>
      </c>
      <c r="C14" s="243">
        <v>33</v>
      </c>
      <c r="D14" s="62">
        <f t="shared" si="3"/>
        <v>8</v>
      </c>
      <c r="E14" s="298">
        <f t="shared" si="0"/>
        <v>9.5780487804878049</v>
      </c>
      <c r="F14" s="289">
        <f t="shared" si="23"/>
        <v>0.92990764859104891</v>
      </c>
      <c r="G14" s="300">
        <v>392.7</v>
      </c>
      <c r="H14" s="244">
        <v>283.8</v>
      </c>
      <c r="I14" s="290">
        <f t="shared" si="4"/>
        <v>108.89999999999998</v>
      </c>
      <c r="K14" s="255">
        <v>2007</v>
      </c>
      <c r="L14" s="18">
        <v>10300000</v>
      </c>
      <c r="M14" s="18">
        <v>10400000</v>
      </c>
      <c r="N14" s="251">
        <f t="shared" si="5"/>
        <v>-100000</v>
      </c>
      <c r="O14" s="28">
        <f t="shared" si="6"/>
        <v>9578048.7804878056</v>
      </c>
      <c r="P14" s="28">
        <v>9500000</v>
      </c>
      <c r="Q14" s="28">
        <v>8600000</v>
      </c>
      <c r="R14" s="38">
        <f t="shared" si="7"/>
        <v>78048.780487805605</v>
      </c>
      <c r="S14" s="39">
        <f t="shared" si="8"/>
        <v>8.2156611039796434E-3</v>
      </c>
      <c r="T14" s="38">
        <f t="shared" si="9"/>
        <v>978048.7804878056</v>
      </c>
      <c r="U14" s="120">
        <f t="shared" si="10"/>
        <v>0.11372660238230292</v>
      </c>
      <c r="V14" s="47">
        <f t="shared" si="11"/>
        <v>0.92990764859104913</v>
      </c>
      <c r="W14" s="47">
        <f t="shared" si="12"/>
        <v>0.92233009708737868</v>
      </c>
      <c r="X14" s="198">
        <f t="shared" si="13"/>
        <v>0.82692307692307687</v>
      </c>
      <c r="AA14" s="157"/>
      <c r="AB14" s="157"/>
      <c r="AC14" s="9"/>
      <c r="AD14" s="13">
        <v>2007</v>
      </c>
      <c r="AE14" s="209">
        <f t="shared" si="2"/>
        <v>41</v>
      </c>
      <c r="AF14" s="31">
        <v>38</v>
      </c>
      <c r="AG14" s="210">
        <f t="shared" si="14"/>
        <v>33</v>
      </c>
      <c r="AH14" s="71">
        <f t="shared" si="15"/>
        <v>3</v>
      </c>
      <c r="AI14" s="39">
        <f t="shared" si="16"/>
        <v>7.8947368421052655E-2</v>
      </c>
      <c r="AJ14" s="71">
        <f t="shared" si="17"/>
        <v>8</v>
      </c>
      <c r="AK14" s="72">
        <f t="shared" si="18"/>
        <v>0.24242424242424243</v>
      </c>
      <c r="AL14" s="157"/>
      <c r="AM14" s="157"/>
      <c r="AN14" s="157"/>
      <c r="AO14" s="157"/>
      <c r="AP14" s="157"/>
      <c r="AQ14" s="9"/>
      <c r="AR14" s="9"/>
      <c r="AS14" s="13">
        <v>2007</v>
      </c>
      <c r="AT14" s="209">
        <f>G14</f>
        <v>392.7</v>
      </c>
      <c r="AU14" s="213">
        <v>361</v>
      </c>
      <c r="AV14" s="214">
        <f>H14</f>
        <v>283.8</v>
      </c>
      <c r="AW14" s="71">
        <f t="shared" si="19"/>
        <v>31.699999999999989</v>
      </c>
      <c r="AX14" s="39">
        <f t="shared" si="20"/>
        <v>8.7811634349030498E-2</v>
      </c>
      <c r="AY14" s="71">
        <f t="shared" si="21"/>
        <v>108.89999999999998</v>
      </c>
      <c r="AZ14" s="72">
        <f t="shared" si="22"/>
        <v>0.38372093023255816</v>
      </c>
    </row>
    <row r="15" spans="1:52" x14ac:dyDescent="0.3">
      <c r="A15" s="288">
        <v>2008</v>
      </c>
      <c r="B15" s="296">
        <v>43.3</v>
      </c>
      <c r="C15" s="243">
        <v>40</v>
      </c>
      <c r="D15" s="62">
        <f t="shared" si="3"/>
        <v>3.2999999999999972</v>
      </c>
      <c r="E15" s="298">
        <f t="shared" si="0"/>
        <v>8.7551963048498855</v>
      </c>
      <c r="F15" s="289">
        <f t="shared" si="23"/>
        <v>0.88436326311614999</v>
      </c>
      <c r="G15" s="300">
        <v>379.1</v>
      </c>
      <c r="H15" s="244">
        <v>360</v>
      </c>
      <c r="I15" s="290">
        <f t="shared" si="4"/>
        <v>19.100000000000023</v>
      </c>
      <c r="K15" s="255">
        <v>2008</v>
      </c>
      <c r="L15" s="18">
        <v>9900000</v>
      </c>
      <c r="M15" s="18">
        <v>9700000</v>
      </c>
      <c r="N15" s="251">
        <f t="shared" si="5"/>
        <v>200000</v>
      </c>
      <c r="O15" s="28">
        <f t="shared" si="6"/>
        <v>8755196.3048498854</v>
      </c>
      <c r="P15" s="28">
        <v>9400000</v>
      </c>
      <c r="Q15" s="28">
        <v>9000000</v>
      </c>
      <c r="R15" s="38">
        <f t="shared" si="7"/>
        <v>-644803.6951501146</v>
      </c>
      <c r="S15" s="39">
        <f t="shared" si="8"/>
        <v>-6.859613778192708E-2</v>
      </c>
      <c r="T15" s="38">
        <f t="shared" si="9"/>
        <v>-244803.6951501146</v>
      </c>
      <c r="U15" s="120">
        <f t="shared" si="10"/>
        <v>-2.720041057223499E-2</v>
      </c>
      <c r="V15" s="47">
        <f t="shared" si="11"/>
        <v>0.88436326311614999</v>
      </c>
      <c r="W15" s="47">
        <f t="shared" si="12"/>
        <v>0.9494949494949495</v>
      </c>
      <c r="X15" s="198">
        <f t="shared" si="13"/>
        <v>0.92783505154639179</v>
      </c>
      <c r="AA15" s="157"/>
      <c r="AB15" s="157"/>
      <c r="AC15" s="9"/>
      <c r="AD15" s="13">
        <v>2008</v>
      </c>
      <c r="AE15" s="209">
        <f t="shared" si="2"/>
        <v>43.3</v>
      </c>
      <c r="AF15" s="31">
        <v>38</v>
      </c>
      <c r="AG15" s="210">
        <f t="shared" si="14"/>
        <v>40</v>
      </c>
      <c r="AH15" s="71">
        <f t="shared" si="15"/>
        <v>5.2999999999999972</v>
      </c>
      <c r="AI15" s="39">
        <f t="shared" si="16"/>
        <v>0.13947368421052619</v>
      </c>
      <c r="AJ15" s="71">
        <f t="shared" si="17"/>
        <v>3.2999999999999972</v>
      </c>
      <c r="AK15" s="72">
        <f t="shared" si="18"/>
        <v>8.2500000000000018E-2</v>
      </c>
      <c r="AL15" s="157"/>
      <c r="AM15" s="157"/>
      <c r="AN15" s="157"/>
      <c r="AO15" s="157"/>
      <c r="AP15" s="157"/>
      <c r="AQ15" s="9"/>
      <c r="AR15" s="9"/>
      <c r="AS15" s="13">
        <v>2008</v>
      </c>
      <c r="AT15" s="209">
        <f>G15</f>
        <v>379.1</v>
      </c>
      <c r="AU15" s="213">
        <v>357.2</v>
      </c>
      <c r="AV15" s="214">
        <f>H15</f>
        <v>360</v>
      </c>
      <c r="AW15" s="71">
        <f t="shared" si="19"/>
        <v>21.900000000000034</v>
      </c>
      <c r="AX15" s="39">
        <f t="shared" si="20"/>
        <v>6.1310190369540996E-2</v>
      </c>
      <c r="AY15" s="71">
        <f t="shared" si="21"/>
        <v>19.100000000000023</v>
      </c>
      <c r="AZ15" s="72">
        <f t="shared" si="22"/>
        <v>5.3055555555555634E-2</v>
      </c>
    </row>
    <row r="16" spans="1:52" x14ac:dyDescent="0.3">
      <c r="A16" s="288">
        <v>2009</v>
      </c>
      <c r="B16" s="296">
        <v>40.799999999999997</v>
      </c>
      <c r="C16" s="243">
        <v>42</v>
      </c>
      <c r="D16" s="62">
        <f t="shared" si="3"/>
        <v>-1.2000000000000028</v>
      </c>
      <c r="E16" s="298">
        <f t="shared" si="0"/>
        <v>8.1691176470588243</v>
      </c>
      <c r="F16" s="289">
        <f t="shared" si="23"/>
        <v>0.90767973856209161</v>
      </c>
      <c r="G16" s="300">
        <v>333.3</v>
      </c>
      <c r="H16" s="244">
        <v>375.9</v>
      </c>
      <c r="I16" s="290">
        <f t="shared" si="4"/>
        <v>-42.599999999999966</v>
      </c>
      <c r="K16" s="255">
        <v>2009</v>
      </c>
      <c r="L16" s="18">
        <v>9000000</v>
      </c>
      <c r="M16" s="18">
        <v>9300000</v>
      </c>
      <c r="N16" s="251">
        <f t="shared" si="5"/>
        <v>-300000</v>
      </c>
      <c r="O16" s="28">
        <f t="shared" si="6"/>
        <v>8169117.6470588241</v>
      </c>
      <c r="P16" s="28">
        <v>8500000</v>
      </c>
      <c r="Q16" s="28">
        <v>8950000</v>
      </c>
      <c r="R16" s="38">
        <f t="shared" si="7"/>
        <v>-330882.35294117592</v>
      </c>
      <c r="S16" s="39">
        <f t="shared" si="8"/>
        <v>-3.8927335640138394E-2</v>
      </c>
      <c r="T16" s="38">
        <f t="shared" si="9"/>
        <v>-780882.35294117592</v>
      </c>
      <c r="U16" s="120">
        <f t="shared" si="10"/>
        <v>-8.7249424909628615E-2</v>
      </c>
      <c r="V16" s="47">
        <f t="shared" si="11"/>
        <v>0.90767973856209161</v>
      </c>
      <c r="W16" s="47">
        <f t="shared" si="12"/>
        <v>0.94444444444444442</v>
      </c>
      <c r="X16" s="198">
        <f t="shared" si="13"/>
        <v>0.9623655913978495</v>
      </c>
      <c r="AA16" s="157"/>
      <c r="AB16" s="157"/>
      <c r="AC16" s="9"/>
      <c r="AD16" s="13">
        <v>2009</v>
      </c>
      <c r="AE16" s="209">
        <f t="shared" si="2"/>
        <v>40.799999999999997</v>
      </c>
      <c r="AF16" s="31">
        <v>40</v>
      </c>
      <c r="AG16" s="210">
        <f t="shared" si="14"/>
        <v>42</v>
      </c>
      <c r="AH16" s="71">
        <f t="shared" si="15"/>
        <v>0.79999999999999716</v>
      </c>
      <c r="AI16" s="39">
        <f t="shared" si="16"/>
        <v>2.0000000000000018E-2</v>
      </c>
      <c r="AJ16" s="71">
        <f t="shared" si="17"/>
        <v>-1.2000000000000028</v>
      </c>
      <c r="AK16" s="72">
        <f t="shared" si="18"/>
        <v>-2.8571428571428692E-2</v>
      </c>
      <c r="AL16" s="157"/>
      <c r="AM16" s="157"/>
      <c r="AN16" s="157"/>
      <c r="AO16" s="157"/>
      <c r="AP16" s="157"/>
      <c r="AQ16" s="9"/>
      <c r="AR16" s="9"/>
      <c r="AS16" s="13">
        <v>2009</v>
      </c>
      <c r="AT16" s="209">
        <f>G16</f>
        <v>333.3</v>
      </c>
      <c r="AU16" s="213">
        <v>340</v>
      </c>
      <c r="AV16" s="215">
        <f>H16</f>
        <v>375.9</v>
      </c>
      <c r="AW16" s="71">
        <f t="shared" si="19"/>
        <v>-6.6999999999999886</v>
      </c>
      <c r="AX16" s="39">
        <f t="shared" si="20"/>
        <v>-1.9705882352941129E-2</v>
      </c>
      <c r="AY16" s="71">
        <f t="shared" si="21"/>
        <v>-42.599999999999966</v>
      </c>
      <c r="AZ16" s="72">
        <f t="shared" si="22"/>
        <v>-0.11332801276935345</v>
      </c>
    </row>
    <row r="17" spans="1:52" s="10" customFormat="1" x14ac:dyDescent="0.3">
      <c r="A17" s="288">
        <v>2010</v>
      </c>
      <c r="B17" s="296">
        <v>40.700000000000003</v>
      </c>
      <c r="C17" s="243">
        <v>45</v>
      </c>
      <c r="D17" s="62">
        <f t="shared" si="3"/>
        <v>-4.2999999999999972</v>
      </c>
      <c r="E17" s="298">
        <f t="shared" si="0"/>
        <v>8.1941031941031941</v>
      </c>
      <c r="F17" s="289">
        <f t="shared" si="23"/>
        <v>0.95280269698874354</v>
      </c>
      <c r="G17" s="300">
        <v>333.5</v>
      </c>
      <c r="H17" s="244">
        <v>360</v>
      </c>
      <c r="I17" s="290">
        <f t="shared" si="4"/>
        <v>-26.5</v>
      </c>
      <c r="K17" s="255">
        <v>2010</v>
      </c>
      <c r="L17" s="18">
        <v>8600000</v>
      </c>
      <c r="M17" s="18">
        <v>8300000</v>
      </c>
      <c r="N17" s="251">
        <f t="shared" si="5"/>
        <v>300000</v>
      </c>
      <c r="O17" s="28">
        <f t="shared" si="6"/>
        <v>8194103.1941031944</v>
      </c>
      <c r="P17" s="28">
        <v>8200000</v>
      </c>
      <c r="Q17" s="28">
        <v>8000000</v>
      </c>
      <c r="R17" s="38">
        <f t="shared" si="7"/>
        <v>-5896.8058968055993</v>
      </c>
      <c r="S17" s="39">
        <f t="shared" si="8"/>
        <v>-7.1912267034213162E-4</v>
      </c>
      <c r="T17" s="38">
        <f t="shared" si="9"/>
        <v>194103.1941031944</v>
      </c>
      <c r="U17" s="120">
        <f t="shared" si="10"/>
        <v>2.4262899262899262E-2</v>
      </c>
      <c r="V17" s="47">
        <f t="shared" si="11"/>
        <v>0.95280269698874354</v>
      </c>
      <c r="W17" s="47">
        <f t="shared" si="12"/>
        <v>0.95348837209302328</v>
      </c>
      <c r="X17" s="198">
        <f t="shared" si="13"/>
        <v>0.96385542168674698</v>
      </c>
      <c r="AA17" s="157"/>
      <c r="AB17" s="157"/>
      <c r="AC17" s="9"/>
      <c r="AD17" s="13">
        <v>2010</v>
      </c>
      <c r="AE17" s="209">
        <f t="shared" si="2"/>
        <v>40.700000000000003</v>
      </c>
      <c r="AF17" s="31">
        <v>42</v>
      </c>
      <c r="AG17" s="210">
        <f t="shared" si="14"/>
        <v>45</v>
      </c>
      <c r="AH17" s="71">
        <f t="shared" si="15"/>
        <v>-1.2999999999999972</v>
      </c>
      <c r="AI17" s="39">
        <f t="shared" si="16"/>
        <v>-3.0952380952380842E-2</v>
      </c>
      <c r="AJ17" s="71">
        <f t="shared" si="17"/>
        <v>-4.2999999999999972</v>
      </c>
      <c r="AK17" s="72">
        <f t="shared" si="18"/>
        <v>-9.5555555555555505E-2</v>
      </c>
      <c r="AL17" s="157"/>
      <c r="AM17" s="157"/>
      <c r="AN17" s="157"/>
      <c r="AO17" s="157"/>
      <c r="AP17" s="157"/>
      <c r="AQ17" s="9"/>
      <c r="AR17" s="9"/>
      <c r="AS17" s="13">
        <v>2010</v>
      </c>
      <c r="AT17" s="209">
        <f>G17</f>
        <v>333.5</v>
      </c>
      <c r="AU17" s="213">
        <v>344.4</v>
      </c>
      <c r="AV17" s="215">
        <f>H17</f>
        <v>360</v>
      </c>
      <c r="AW17" s="71">
        <f t="shared" si="19"/>
        <v>-10.899999999999977</v>
      </c>
      <c r="AX17" s="39">
        <f t="shared" si="20"/>
        <v>-3.1649245063879117E-2</v>
      </c>
      <c r="AY17" s="71">
        <f t="shared" si="21"/>
        <v>-26.5</v>
      </c>
      <c r="AZ17" s="72">
        <f t="shared" si="22"/>
        <v>-7.3611111111111072E-2</v>
      </c>
    </row>
    <row r="18" spans="1:52" s="10" customFormat="1" x14ac:dyDescent="0.3">
      <c r="A18" s="288">
        <v>2011</v>
      </c>
      <c r="B18" s="296">
        <v>37.4</v>
      </c>
      <c r="C18" s="243">
        <v>35</v>
      </c>
      <c r="D18" s="62">
        <f t="shared" si="3"/>
        <v>2.3999999999999986</v>
      </c>
      <c r="E18" s="298">
        <f t="shared" si="0"/>
        <v>6.8636363636363633</v>
      </c>
      <c r="F18" s="289">
        <f t="shared" si="23"/>
        <v>0.77995867768595029</v>
      </c>
      <c r="G18" s="300">
        <v>256.7</v>
      </c>
      <c r="H18" s="244">
        <v>278.25</v>
      </c>
      <c r="I18" s="290">
        <f t="shared" si="4"/>
        <v>-21.550000000000011</v>
      </c>
      <c r="K18" s="255">
        <v>2011</v>
      </c>
      <c r="L18" s="18">
        <v>8800000</v>
      </c>
      <c r="M18" s="18">
        <v>8800000</v>
      </c>
      <c r="N18" s="251">
        <f t="shared" si="5"/>
        <v>0</v>
      </c>
      <c r="O18" s="28">
        <f t="shared" si="6"/>
        <v>6863636.3636363633</v>
      </c>
      <c r="P18" s="28">
        <v>7700000</v>
      </c>
      <c r="Q18" s="28">
        <v>7950000</v>
      </c>
      <c r="R18" s="38">
        <f t="shared" si="7"/>
        <v>-836363.6363636367</v>
      </c>
      <c r="S18" s="39">
        <f t="shared" si="8"/>
        <v>-0.10861865407319959</v>
      </c>
      <c r="T18" s="38">
        <f t="shared" si="9"/>
        <v>-1086363.6363636367</v>
      </c>
      <c r="U18" s="120">
        <f t="shared" si="10"/>
        <v>-0.13664951400800462</v>
      </c>
      <c r="V18" s="47">
        <f t="shared" si="11"/>
        <v>0.7799586776859504</v>
      </c>
      <c r="W18" s="47">
        <f t="shared" si="12"/>
        <v>0.875</v>
      </c>
      <c r="X18" s="198">
        <f t="shared" si="13"/>
        <v>0.90340909090909094</v>
      </c>
      <c r="AA18" s="157"/>
      <c r="AB18" s="157"/>
      <c r="AC18" s="9"/>
      <c r="AD18" s="13">
        <v>2011</v>
      </c>
      <c r="AE18" s="209">
        <f t="shared" si="2"/>
        <v>37.4</v>
      </c>
      <c r="AF18" s="31">
        <v>34</v>
      </c>
      <c r="AG18" s="210">
        <f t="shared" si="14"/>
        <v>35</v>
      </c>
      <c r="AH18" s="71">
        <f t="shared" si="15"/>
        <v>3.3999999999999986</v>
      </c>
      <c r="AI18" s="245">
        <f t="shared" si="16"/>
        <v>9.9999999999999867E-2</v>
      </c>
      <c r="AJ18" s="71">
        <f t="shared" si="17"/>
        <v>2.3999999999999986</v>
      </c>
      <c r="AK18" s="72">
        <f t="shared" si="18"/>
        <v>6.8571428571428505E-2</v>
      </c>
      <c r="AL18" s="157"/>
      <c r="AM18" s="157"/>
      <c r="AN18" s="157"/>
      <c r="AO18" s="157"/>
      <c r="AP18" s="157"/>
      <c r="AQ18" s="9"/>
      <c r="AR18" s="9"/>
      <c r="AS18" s="13">
        <v>2011</v>
      </c>
      <c r="AT18" s="209">
        <f>G18</f>
        <v>256.7</v>
      </c>
      <c r="AU18" s="213">
        <v>261.8</v>
      </c>
      <c r="AV18" s="214">
        <f>H18</f>
        <v>278.25</v>
      </c>
      <c r="AW18" s="71">
        <f t="shared" si="19"/>
        <v>-5.1000000000000227</v>
      </c>
      <c r="AX18" s="39">
        <f t="shared" si="20"/>
        <v>-1.9480519480519543E-2</v>
      </c>
      <c r="AY18" s="71">
        <f t="shared" si="21"/>
        <v>-21.550000000000011</v>
      </c>
      <c r="AZ18" s="72">
        <f t="shared" si="22"/>
        <v>-7.7448337825696378E-2</v>
      </c>
    </row>
    <row r="19" spans="1:52" x14ac:dyDescent="0.3">
      <c r="A19" s="288">
        <v>2012</v>
      </c>
      <c r="B19" s="296">
        <v>49.1</v>
      </c>
      <c r="C19" s="243">
        <v>42</v>
      </c>
      <c r="D19" s="62">
        <f t="shared" si="3"/>
        <v>7.1000000000000014</v>
      </c>
      <c r="E19" s="298">
        <f t="shared" si="0"/>
        <v>8.2240325865580441</v>
      </c>
      <c r="F19" s="289">
        <f t="shared" si="23"/>
        <v>0.86568764069032045</v>
      </c>
      <c r="G19" s="300">
        <v>403.8</v>
      </c>
      <c r="H19" s="244">
        <v>382.2</v>
      </c>
      <c r="I19" s="290">
        <f t="shared" si="4"/>
        <v>21.600000000000023</v>
      </c>
      <c r="K19" s="255">
        <v>2012</v>
      </c>
      <c r="L19" s="252">
        <v>9500000</v>
      </c>
      <c r="M19" s="18">
        <v>9400000</v>
      </c>
      <c r="N19" s="251">
        <f t="shared" si="5"/>
        <v>100000</v>
      </c>
      <c r="O19" s="28">
        <f t="shared" si="6"/>
        <v>8224032.586558044</v>
      </c>
      <c r="P19" s="29">
        <v>9000000</v>
      </c>
      <c r="Q19" s="28">
        <v>9100000</v>
      </c>
      <c r="R19" s="38">
        <f t="shared" si="7"/>
        <v>-775967.41344195604</v>
      </c>
      <c r="S19" s="39">
        <f t="shared" si="8"/>
        <v>-8.6218601493550651E-2</v>
      </c>
      <c r="T19" s="38">
        <f t="shared" si="9"/>
        <v>-875967.41344195604</v>
      </c>
      <c r="U19" s="120">
        <f t="shared" si="10"/>
        <v>-9.6260155323291907E-2</v>
      </c>
      <c r="V19" s="47">
        <f t="shared" si="11"/>
        <v>0.86568764069032045</v>
      </c>
      <c r="W19" s="47">
        <f t="shared" si="12"/>
        <v>0.94736842105263153</v>
      </c>
      <c r="X19" s="198">
        <f t="shared" si="13"/>
        <v>0.96808510638297873</v>
      </c>
      <c r="AA19" s="157"/>
      <c r="AB19" s="157"/>
      <c r="AC19" s="9"/>
      <c r="AD19" s="13">
        <v>2012</v>
      </c>
      <c r="AE19" s="209">
        <f t="shared" si="2"/>
        <v>49.1</v>
      </c>
      <c r="AF19" s="31">
        <v>43</v>
      </c>
      <c r="AG19" s="210">
        <f t="shared" si="14"/>
        <v>42</v>
      </c>
      <c r="AH19" s="71">
        <f t="shared" si="15"/>
        <v>6.1000000000000014</v>
      </c>
      <c r="AI19" s="39">
        <f t="shared" si="16"/>
        <v>0.14186046511627914</v>
      </c>
      <c r="AJ19" s="71">
        <f t="shared" si="17"/>
        <v>7.1000000000000014</v>
      </c>
      <c r="AK19" s="72">
        <f t="shared" si="18"/>
        <v>0.16904761904761911</v>
      </c>
      <c r="AL19" s="157"/>
      <c r="AM19" s="157"/>
      <c r="AN19" s="157"/>
      <c r="AO19" s="157"/>
      <c r="AP19" s="157"/>
      <c r="AQ19" s="9"/>
      <c r="AR19" s="9"/>
      <c r="AS19" s="13">
        <v>2012</v>
      </c>
      <c r="AT19" s="209">
        <f>G19</f>
        <v>403.8</v>
      </c>
      <c r="AU19" s="213">
        <v>387</v>
      </c>
      <c r="AV19" s="215">
        <f>H19</f>
        <v>382.2</v>
      </c>
      <c r="AW19" s="71">
        <f t="shared" si="19"/>
        <v>16.800000000000011</v>
      </c>
      <c r="AX19" s="39">
        <f t="shared" si="20"/>
        <v>4.3410852713178238E-2</v>
      </c>
      <c r="AY19" s="71">
        <f t="shared" si="21"/>
        <v>21.600000000000023</v>
      </c>
      <c r="AZ19" s="72">
        <f t="shared" si="22"/>
        <v>5.6514913657770949E-2</v>
      </c>
    </row>
    <row r="20" spans="1:52" x14ac:dyDescent="0.3">
      <c r="A20" s="288">
        <v>2013</v>
      </c>
      <c r="B20" s="296">
        <v>41.1</v>
      </c>
      <c r="C20" s="243">
        <v>38</v>
      </c>
      <c r="D20" s="62">
        <f t="shared" si="3"/>
        <v>3.1000000000000014</v>
      </c>
      <c r="E20" s="298">
        <f t="shared" si="0"/>
        <v>7.6180048661800486</v>
      </c>
      <c r="F20" s="289">
        <f t="shared" si="23"/>
        <v>0.81914030819140304</v>
      </c>
      <c r="G20" s="300">
        <v>313.10000000000002</v>
      </c>
      <c r="H20" s="244">
        <v>321.10000000000002</v>
      </c>
      <c r="I20" s="290">
        <f t="shared" si="4"/>
        <v>-8</v>
      </c>
      <c r="K20" s="255">
        <v>2013</v>
      </c>
      <c r="L20" s="252">
        <v>9300000</v>
      </c>
      <c r="M20" s="18">
        <v>9500000</v>
      </c>
      <c r="N20" s="251">
        <f t="shared" si="5"/>
        <v>-200000</v>
      </c>
      <c r="O20" s="28">
        <f t="shared" si="6"/>
        <v>7618004.8661800483</v>
      </c>
      <c r="P20" s="29">
        <v>8100000</v>
      </c>
      <c r="Q20" s="28">
        <v>8450000</v>
      </c>
      <c r="R20" s="38">
        <f t="shared" si="7"/>
        <v>-481995.13381995168</v>
      </c>
      <c r="S20" s="39">
        <f t="shared" si="8"/>
        <v>-5.9505572076537283E-2</v>
      </c>
      <c r="T20" s="38">
        <f t="shared" si="9"/>
        <v>-831995.13381995168</v>
      </c>
      <c r="U20" s="120">
        <f t="shared" si="10"/>
        <v>-9.8460962582242795E-2</v>
      </c>
      <c r="V20" s="47">
        <f t="shared" si="11"/>
        <v>0.81914030819140304</v>
      </c>
      <c r="W20" s="47">
        <f t="shared" si="12"/>
        <v>0.87096774193548387</v>
      </c>
      <c r="X20" s="198">
        <f t="shared" si="13"/>
        <v>0.88947368421052631</v>
      </c>
      <c r="AA20" s="157"/>
      <c r="AB20" s="157"/>
      <c r="AC20" s="9"/>
      <c r="AD20" s="13">
        <v>2013</v>
      </c>
      <c r="AE20" s="209">
        <f t="shared" si="2"/>
        <v>41.1</v>
      </c>
      <c r="AF20" s="31">
        <v>37</v>
      </c>
      <c r="AG20" s="210">
        <f t="shared" si="14"/>
        <v>38</v>
      </c>
      <c r="AH20" s="71">
        <f t="shared" si="15"/>
        <v>4.1000000000000014</v>
      </c>
      <c r="AI20" s="39">
        <f t="shared" si="16"/>
        <v>0.11081081081081079</v>
      </c>
      <c r="AJ20" s="71">
        <f t="shared" si="17"/>
        <v>3.1000000000000014</v>
      </c>
      <c r="AK20" s="72">
        <f t="shared" si="18"/>
        <v>8.1578947368421195E-2</v>
      </c>
      <c r="AL20" s="157"/>
      <c r="AM20" s="157"/>
      <c r="AN20" s="157"/>
      <c r="AO20" s="157"/>
      <c r="AP20" s="157"/>
      <c r="AQ20" s="9"/>
      <c r="AR20" s="9"/>
      <c r="AS20" s="13">
        <v>2013</v>
      </c>
      <c r="AT20" s="209">
        <f>G20</f>
        <v>313.10000000000002</v>
      </c>
      <c r="AU20" s="213">
        <v>299.7</v>
      </c>
      <c r="AV20" s="214">
        <f>H20</f>
        <v>321.10000000000002</v>
      </c>
      <c r="AW20" s="71">
        <f t="shared" si="19"/>
        <v>13.400000000000034</v>
      </c>
      <c r="AX20" s="39">
        <f t="shared" si="20"/>
        <v>4.4711378044711481E-2</v>
      </c>
      <c r="AY20" s="71">
        <f t="shared" si="21"/>
        <v>-8</v>
      </c>
      <c r="AZ20" s="72">
        <f t="shared" si="22"/>
        <v>-2.4914356898162571E-2</v>
      </c>
    </row>
    <row r="21" spans="1:52" x14ac:dyDescent="0.3">
      <c r="A21" s="288">
        <v>2014</v>
      </c>
      <c r="B21" s="296">
        <v>33.200000000000003</v>
      </c>
      <c r="C21" s="243">
        <v>28</v>
      </c>
      <c r="D21" s="62">
        <f t="shared" si="3"/>
        <v>5.2000000000000028</v>
      </c>
      <c r="E21" s="298">
        <f t="shared" si="0"/>
        <v>7.8524096385542155</v>
      </c>
      <c r="F21" s="289">
        <f t="shared" si="23"/>
        <v>0.84434512242518445</v>
      </c>
      <c r="G21" s="300">
        <v>260.7</v>
      </c>
      <c r="H21" s="244">
        <v>246.4</v>
      </c>
      <c r="I21" s="290">
        <f t="shared" si="4"/>
        <v>14.299999999999983</v>
      </c>
      <c r="K21" s="255">
        <v>2014</v>
      </c>
      <c r="L21" s="252">
        <v>9300000</v>
      </c>
      <c r="M21" s="18">
        <v>9600000</v>
      </c>
      <c r="N21" s="251">
        <f t="shared" si="5"/>
        <v>-300000</v>
      </c>
      <c r="O21" s="248">
        <f t="shared" si="6"/>
        <v>7852409.6385542154</v>
      </c>
      <c r="P21" s="29">
        <v>8400000</v>
      </c>
      <c r="Q21" s="28">
        <v>8800000</v>
      </c>
      <c r="R21" s="38">
        <f t="shared" si="7"/>
        <v>-547590.36144578457</v>
      </c>
      <c r="S21" s="39">
        <f t="shared" si="8"/>
        <v>-6.5189328743545771E-2</v>
      </c>
      <c r="T21" s="38">
        <f t="shared" si="9"/>
        <v>-947590.36144578457</v>
      </c>
      <c r="U21" s="120">
        <f t="shared" si="10"/>
        <v>-0.10768072289156638</v>
      </c>
      <c r="V21" s="47">
        <f t="shared" si="11"/>
        <v>0.84434512242518445</v>
      </c>
      <c r="W21" s="47">
        <f t="shared" si="12"/>
        <v>0.90322580645161288</v>
      </c>
      <c r="X21" s="198">
        <f t="shared" si="13"/>
        <v>0.91666666666666663</v>
      </c>
      <c r="AA21" s="157"/>
      <c r="AB21" s="157"/>
      <c r="AD21" s="13">
        <v>2014</v>
      </c>
      <c r="AE21" s="211">
        <f t="shared" si="2"/>
        <v>33.200000000000003</v>
      </c>
      <c r="AF21" s="31">
        <v>31</v>
      </c>
      <c r="AG21" s="210">
        <f t="shared" si="14"/>
        <v>28</v>
      </c>
      <c r="AH21" s="71">
        <f t="shared" si="15"/>
        <v>2.2000000000000028</v>
      </c>
      <c r="AI21" s="39">
        <f t="shared" si="16"/>
        <v>7.0967741935483941E-2</v>
      </c>
      <c r="AJ21" s="71">
        <f t="shared" si="17"/>
        <v>5.2000000000000028</v>
      </c>
      <c r="AK21" s="72">
        <f t="shared" si="18"/>
        <v>0.18571428571428572</v>
      </c>
      <c r="AL21" s="157"/>
      <c r="AM21" s="157"/>
      <c r="AN21" s="157"/>
      <c r="AO21" s="157"/>
      <c r="AP21" s="157"/>
      <c r="AS21" s="13">
        <v>2014</v>
      </c>
      <c r="AT21" s="211">
        <f>G21</f>
        <v>260.7</v>
      </c>
      <c r="AU21" s="213">
        <v>260.39999999999998</v>
      </c>
      <c r="AV21" s="31">
        <f>H21</f>
        <v>246.4</v>
      </c>
      <c r="AW21" s="71">
        <f t="shared" si="19"/>
        <v>0.30000000000001137</v>
      </c>
      <c r="AX21" s="39">
        <f t="shared" si="20"/>
        <v>1.1520737327188613E-3</v>
      </c>
      <c r="AY21" s="71">
        <f t="shared" si="21"/>
        <v>14.299999999999983</v>
      </c>
      <c r="AZ21" s="72">
        <f t="shared" si="22"/>
        <v>5.8035714285714191E-2</v>
      </c>
    </row>
    <row r="22" spans="1:52" s="10" customFormat="1" x14ac:dyDescent="0.3">
      <c r="A22" s="288">
        <v>2015</v>
      </c>
      <c r="B22" s="296">
        <v>35.9</v>
      </c>
      <c r="C22" s="243">
        <v>37</v>
      </c>
      <c r="D22" s="62">
        <f t="shared" si="3"/>
        <v>-1.1000000000000014</v>
      </c>
      <c r="E22" s="298">
        <f t="shared" si="0"/>
        <v>8.0362116991643457</v>
      </c>
      <c r="F22" s="289">
        <f t="shared" si="23"/>
        <v>0.85491613820897294</v>
      </c>
      <c r="G22" s="300">
        <v>288.5</v>
      </c>
      <c r="H22" s="244">
        <v>321.89999999999998</v>
      </c>
      <c r="I22" s="290">
        <f t="shared" si="4"/>
        <v>-33.399999999999977</v>
      </c>
      <c r="K22" s="255">
        <v>2015</v>
      </c>
      <c r="L22" s="252">
        <v>9400000</v>
      </c>
      <c r="M22" s="18">
        <v>9200000</v>
      </c>
      <c r="N22" s="251">
        <f t="shared" si="5"/>
        <v>200000</v>
      </c>
      <c r="O22" s="248">
        <f t="shared" ref="O22" si="24">E22*1000000</f>
        <v>8036211.6991643459</v>
      </c>
      <c r="P22" s="29">
        <v>8500000</v>
      </c>
      <c r="Q22" s="260">
        <v>8700000</v>
      </c>
      <c r="R22" s="259">
        <f t="shared" si="7"/>
        <v>-463788.30083565414</v>
      </c>
      <c r="S22" s="39">
        <f t="shared" si="8"/>
        <v>-5.4563329510076919E-2</v>
      </c>
      <c r="T22" s="38">
        <f t="shared" si="9"/>
        <v>-663788.30083565414</v>
      </c>
      <c r="U22" s="120">
        <f t="shared" si="10"/>
        <v>-7.6297505843178626E-2</v>
      </c>
      <c r="V22" s="47">
        <f t="shared" si="11"/>
        <v>0.85491613820897294</v>
      </c>
      <c r="W22" s="47">
        <f t="shared" si="12"/>
        <v>0.9042553191489362</v>
      </c>
      <c r="X22" s="198">
        <f t="shared" si="13"/>
        <v>0.94565217391304346</v>
      </c>
      <c r="AA22" s="92"/>
      <c r="AB22" s="92"/>
      <c r="AD22" s="13">
        <v>2015</v>
      </c>
      <c r="AE22" s="211">
        <f t="shared" ref="AE22" si="25">B22</f>
        <v>35.9</v>
      </c>
      <c r="AF22" s="31">
        <v>32</v>
      </c>
      <c r="AG22" s="210">
        <f t="shared" si="14"/>
        <v>37</v>
      </c>
      <c r="AH22" s="71">
        <f t="shared" si="15"/>
        <v>3.8999999999999986</v>
      </c>
      <c r="AI22" s="39">
        <f t="shared" si="16"/>
        <v>0.12187499999999996</v>
      </c>
      <c r="AJ22" s="71">
        <f t="shared" si="17"/>
        <v>-1.1000000000000014</v>
      </c>
      <c r="AK22" s="72">
        <f t="shared" si="18"/>
        <v>-2.9729729729729759E-2</v>
      </c>
      <c r="AL22" s="92"/>
      <c r="AM22" s="92"/>
      <c r="AN22" s="92"/>
      <c r="AO22" s="92"/>
      <c r="AP22" s="92"/>
      <c r="AS22" s="13">
        <v>2015</v>
      </c>
      <c r="AT22" s="211">
        <f>G22</f>
        <v>288.5</v>
      </c>
      <c r="AU22" s="213">
        <v>272</v>
      </c>
      <c r="AV22" s="31">
        <f>H22</f>
        <v>321.89999999999998</v>
      </c>
      <c r="AW22" s="71">
        <f t="shared" si="19"/>
        <v>16.5</v>
      </c>
      <c r="AX22" s="39">
        <f t="shared" si="20"/>
        <v>6.0661764705882248E-2</v>
      </c>
      <c r="AY22" s="71">
        <f t="shared" si="21"/>
        <v>-33.399999999999977</v>
      </c>
      <c r="AZ22" s="72">
        <f t="shared" si="22"/>
        <v>-0.10375893134513814</v>
      </c>
    </row>
    <row r="23" spans="1:52" s="92" customFormat="1" ht="15" thickBot="1" x14ac:dyDescent="0.35">
      <c r="A23" s="291">
        <v>2016</v>
      </c>
      <c r="B23" s="296">
        <v>48.6</v>
      </c>
      <c r="C23" s="243">
        <v>57</v>
      </c>
      <c r="D23" s="62">
        <f t="shared" si="3"/>
        <v>-8.3999999999999986</v>
      </c>
      <c r="E23" s="298">
        <f t="shared" si="0"/>
        <v>7.8683127572016458</v>
      </c>
      <c r="F23" s="289">
        <f t="shared" si="23"/>
        <v>0.92568385378842888</v>
      </c>
      <c r="G23" s="300">
        <v>382.4</v>
      </c>
      <c r="H23" s="41">
        <v>467.4</v>
      </c>
      <c r="I23" s="290">
        <f t="shared" si="4"/>
        <v>-85</v>
      </c>
      <c r="K23" s="256">
        <v>2016</v>
      </c>
      <c r="L23" s="252">
        <v>8500000</v>
      </c>
      <c r="M23" s="18">
        <v>8500000</v>
      </c>
      <c r="N23" s="257">
        <f t="shared" si="5"/>
        <v>0</v>
      </c>
      <c r="O23" s="90">
        <f>E23*1000000</f>
        <v>7868312.7572016455</v>
      </c>
      <c r="P23" s="28">
        <v>8200000</v>
      </c>
      <c r="Q23" s="260">
        <v>8200000</v>
      </c>
      <c r="R23" s="259">
        <f t="shared" si="7"/>
        <v>-331687.24279835448</v>
      </c>
      <c r="S23" s="39">
        <f t="shared" si="8"/>
        <v>-4.044966375589687E-2</v>
      </c>
      <c r="T23" s="38">
        <f t="shared" si="9"/>
        <v>-331687.24279835448</v>
      </c>
      <c r="U23" s="261">
        <f t="shared" si="10"/>
        <v>-4.044966375589687E-2</v>
      </c>
      <c r="V23" s="47">
        <f t="shared" si="11"/>
        <v>0.92568385378842888</v>
      </c>
      <c r="W23" s="47">
        <f t="shared" si="12"/>
        <v>0.96470588235294119</v>
      </c>
      <c r="X23" s="198">
        <f t="shared" si="13"/>
        <v>0.96470588235294119</v>
      </c>
      <c r="AD23" s="246">
        <v>2016</v>
      </c>
      <c r="AE23" s="211">
        <f t="shared" ref="AE23" si="26">B23</f>
        <v>48.6</v>
      </c>
      <c r="AF23" s="31">
        <v>43</v>
      </c>
      <c r="AG23" s="210">
        <f t="shared" ref="AG23" si="27">C23</f>
        <v>57</v>
      </c>
      <c r="AH23" s="71">
        <f t="shared" ref="AH23" si="28">AE23-AF23</f>
        <v>5.6000000000000014</v>
      </c>
      <c r="AI23" s="39">
        <f t="shared" ref="AI23" si="29">(AE23/AF23)-1</f>
        <v>0.13023255813953494</v>
      </c>
      <c r="AJ23" s="71">
        <f t="shared" ref="AJ23" si="30">AE23-AG23</f>
        <v>-8.3999999999999986</v>
      </c>
      <c r="AK23" s="72">
        <f t="shared" ref="AK23" si="31">(AE23/AG23)-1</f>
        <v>-0.14736842105263159</v>
      </c>
      <c r="AS23" s="246">
        <v>2016</v>
      </c>
      <c r="AT23" s="211">
        <f>G23</f>
        <v>382.4</v>
      </c>
      <c r="AU23" s="213">
        <v>352.6</v>
      </c>
      <c r="AV23" s="31">
        <f>H23</f>
        <v>467.4</v>
      </c>
      <c r="AW23" s="71">
        <f t="shared" ref="AW23" si="32">AT23-AU23</f>
        <v>29.799999999999955</v>
      </c>
      <c r="AX23" s="39">
        <f t="shared" ref="AX23" si="33">(AT23/AU23)-1</f>
        <v>8.4515031196823465E-2</v>
      </c>
      <c r="AY23" s="71">
        <f t="shared" ref="AY23" si="34">AT23-AV23</f>
        <v>-85</v>
      </c>
      <c r="AZ23" s="72">
        <f t="shared" ref="AZ23" si="35">(AT23/AV23)-1</f>
        <v>-0.18185708172871207</v>
      </c>
    </row>
    <row r="24" spans="1:52" s="92" customFormat="1" ht="15" thickBot="1" x14ac:dyDescent="0.35">
      <c r="A24" s="292">
        <v>2017</v>
      </c>
      <c r="B24" s="319">
        <v>46.1</v>
      </c>
      <c r="C24" s="293"/>
      <c r="D24" s="293"/>
      <c r="E24" s="320">
        <f t="shared" si="0"/>
        <v>6.1106290672451191</v>
      </c>
      <c r="F24" s="321">
        <f t="shared" si="23"/>
        <v>0.81475054229934918</v>
      </c>
      <c r="G24" s="294">
        <v>281.7</v>
      </c>
      <c r="H24" s="266"/>
      <c r="I24" s="267"/>
      <c r="K24" s="322">
        <v>2017</v>
      </c>
      <c r="L24" s="323">
        <v>7500000</v>
      </c>
      <c r="M24" s="258"/>
      <c r="N24" s="258"/>
      <c r="O24" s="135">
        <f>E24*1000000</f>
        <v>6110629.0672451193</v>
      </c>
      <c r="P24" s="269"/>
      <c r="Q24" s="270"/>
      <c r="R24" s="266"/>
      <c r="S24" s="268"/>
      <c r="T24" s="266"/>
      <c r="U24" s="267"/>
      <c r="V24" s="324">
        <f t="shared" si="11"/>
        <v>0.81475054229934918</v>
      </c>
      <c r="W24" s="264"/>
      <c r="X24" s="265"/>
      <c r="AD24" s="278">
        <v>2017</v>
      </c>
      <c r="AE24" s="319">
        <f>B24</f>
        <v>46.1</v>
      </c>
      <c r="AF24" s="279"/>
      <c r="AG24" s="279"/>
      <c r="AH24" s="281"/>
      <c r="AI24" s="279"/>
      <c r="AJ24" s="281"/>
      <c r="AK24" s="280"/>
      <c r="AS24" s="278">
        <v>2017</v>
      </c>
      <c r="AT24" s="319">
        <f>G24</f>
        <v>281.7</v>
      </c>
      <c r="AU24" s="282"/>
      <c r="AV24" s="279"/>
      <c r="AW24" s="281"/>
      <c r="AX24" s="279"/>
      <c r="AY24" s="281"/>
      <c r="AZ24" s="280"/>
    </row>
    <row r="25" spans="1:52" s="92" customFormat="1" ht="15" thickBot="1" x14ac:dyDescent="0.35">
      <c r="A25" s="131"/>
      <c r="B25" s="183"/>
      <c r="C25" s="183"/>
      <c r="D25" s="183"/>
      <c r="E25" s="184"/>
      <c r="F25" s="184"/>
      <c r="G25" s="183"/>
      <c r="H25" s="131"/>
      <c r="I25" s="131"/>
      <c r="K25" s="99"/>
      <c r="L25" s="100"/>
      <c r="M25" s="101"/>
      <c r="N25" s="101"/>
      <c r="O25" s="102"/>
      <c r="P25" s="99"/>
      <c r="Q25" s="99"/>
      <c r="R25" s="99"/>
      <c r="S25" s="99"/>
      <c r="T25" s="99"/>
      <c r="U25" s="99"/>
      <c r="V25" s="99"/>
      <c r="W25" s="99"/>
      <c r="X25" s="99"/>
      <c r="AE25" s="87"/>
      <c r="AT25" s="87"/>
      <c r="AU25" s="127"/>
    </row>
    <row r="26" spans="1:52" ht="15.6" thickTop="1" thickBot="1" x14ac:dyDescent="0.35">
      <c r="A26" s="91" t="s">
        <v>103</v>
      </c>
      <c r="B26" s="188"/>
      <c r="C26" s="19"/>
      <c r="D26" s="19"/>
      <c r="E26" s="303"/>
      <c r="F26" s="31"/>
      <c r="G26" s="175"/>
      <c r="H26" s="41"/>
      <c r="I26" s="119"/>
      <c r="J26" s="308"/>
      <c r="K26" s="91" t="s">
        <v>103</v>
      </c>
      <c r="L26" s="188"/>
      <c r="M26" s="19"/>
      <c r="N26" s="19"/>
      <c r="O26" s="30"/>
      <c r="P26" s="31"/>
      <c r="Q26" s="31"/>
      <c r="R26" s="40"/>
      <c r="S26" s="41"/>
      <c r="T26" s="175"/>
      <c r="U26" s="176"/>
      <c r="V26" s="48"/>
      <c r="W26" s="49"/>
      <c r="X26" s="123"/>
      <c r="AA26" s="92"/>
      <c r="AB26" s="92"/>
      <c r="AD26" s="208" t="s">
        <v>103</v>
      </c>
      <c r="AE26" s="93"/>
      <c r="AF26" s="94"/>
      <c r="AG26" s="94"/>
      <c r="AH26" s="95"/>
      <c r="AI26" s="205"/>
      <c r="AJ26" s="95"/>
      <c r="AK26" s="97"/>
      <c r="AL26" s="92"/>
      <c r="AM26" s="92"/>
      <c r="AN26" s="92"/>
      <c r="AO26" s="92"/>
      <c r="AP26" s="92"/>
      <c r="AS26" s="208" t="s">
        <v>103</v>
      </c>
      <c r="AT26" s="93"/>
      <c r="AU26" s="94"/>
      <c r="AV26" s="94"/>
      <c r="AW26" s="95"/>
      <c r="AX26" s="205"/>
      <c r="AY26" s="95"/>
      <c r="AZ26" s="97"/>
    </row>
    <row r="27" spans="1:52" s="52" customFormat="1" ht="15" thickBot="1" x14ac:dyDescent="0.35">
      <c r="A27" s="53" t="s">
        <v>7</v>
      </c>
      <c r="B27" s="301">
        <f>AVERAGE(B7:B24)</f>
        <v>40.366666666666674</v>
      </c>
      <c r="C27" s="179">
        <f t="shared" ref="C27:I27" si="36">AVERAGE(C7:C23)</f>
        <v>39.058823529411768</v>
      </c>
      <c r="D27" s="179">
        <f t="shared" si="36"/>
        <v>0.97058823529411764</v>
      </c>
      <c r="E27" s="304">
        <f>AVERAGE(E7:E24)</f>
        <v>8.3253180157884881</v>
      </c>
      <c r="F27" s="271">
        <f>AVERAGE(F7:F24)</f>
        <v>0.88194451547784036</v>
      </c>
      <c r="G27" s="306">
        <f>AVERAGE(G7:G24)</f>
        <v>335.58222222222224</v>
      </c>
      <c r="H27" s="181">
        <f t="shared" si="36"/>
        <v>341.70882352941175</v>
      </c>
      <c r="I27" s="310">
        <f t="shared" si="36"/>
        <v>-2.9570588235294091</v>
      </c>
      <c r="J27" s="309"/>
      <c r="K27" s="53" t="s">
        <v>7</v>
      </c>
      <c r="L27" s="54">
        <f>AVERAGE(L7:L23)</f>
        <v>9541176.4705882352</v>
      </c>
      <c r="M27" s="55">
        <f t="shared" ref="M27:Q27" si="37">AVERAGE(M7:M23)</f>
        <v>9547058.8235294111</v>
      </c>
      <c r="N27" s="55">
        <f t="shared" si="37"/>
        <v>-5882.3529411764703</v>
      </c>
      <c r="O27" s="191">
        <f t="shared" si="37"/>
        <v>8455593.8362910375</v>
      </c>
      <c r="P27" s="190">
        <f t="shared" si="37"/>
        <v>8752941.1764705889</v>
      </c>
      <c r="Q27" s="190">
        <f t="shared" si="37"/>
        <v>8744117.6470588241</v>
      </c>
      <c r="R27" s="189">
        <f t="shared" ref="R27:X27" si="38">AVERAGE(R7:R23)</f>
        <v>-297347.34017954988</v>
      </c>
      <c r="S27" s="58">
        <f t="shared" si="38"/>
        <v>-3.4024551514371101E-2</v>
      </c>
      <c r="T27" s="177">
        <f t="shared" si="38"/>
        <v>-288523.81076778518</v>
      </c>
      <c r="U27" s="115">
        <f t="shared" si="38"/>
        <v>-3.2073518940355913E-2</v>
      </c>
      <c r="V27" s="194">
        <f t="shared" si="38"/>
        <v>0.88589710213539874</v>
      </c>
      <c r="W27" s="174">
        <f t="shared" si="38"/>
        <v>0.91744161067058472</v>
      </c>
      <c r="X27" s="58">
        <f t="shared" si="38"/>
        <v>0.91712960700181778</v>
      </c>
      <c r="AA27" s="158"/>
      <c r="AB27" s="158"/>
      <c r="AC27" s="56"/>
      <c r="AD27" s="53" t="s">
        <v>7</v>
      </c>
      <c r="AE27" s="75">
        <f>AVERAGE(AE7:AE23)</f>
        <v>40.029411764705891</v>
      </c>
      <c r="AF27" s="76">
        <f t="shared" ref="AF27:AK27" si="39">AVERAGE(AF7:AF23)</f>
        <v>38.352941176470587</v>
      </c>
      <c r="AG27" s="77">
        <f t="shared" si="39"/>
        <v>39.058823529411768</v>
      </c>
      <c r="AH27" s="75">
        <f t="shared" si="39"/>
        <v>1.6764705882352942</v>
      </c>
      <c r="AI27" s="58">
        <f t="shared" si="39"/>
        <v>4.5723832477384936E-2</v>
      </c>
      <c r="AJ27" s="75">
        <f t="shared" si="39"/>
        <v>0.97058823529411764</v>
      </c>
      <c r="AK27" s="115">
        <f t="shared" si="39"/>
        <v>4.0211019415740769E-2</v>
      </c>
      <c r="AL27" s="158"/>
      <c r="AM27" s="158"/>
      <c r="AN27" s="158"/>
      <c r="AO27" s="158"/>
      <c r="AP27" s="158"/>
      <c r="AQ27" s="56"/>
      <c r="AR27" s="56"/>
      <c r="AS27" s="53" t="s">
        <v>7</v>
      </c>
      <c r="AT27" s="75">
        <f>AVERAGE(AT7:AT24)</f>
        <v>335.58222222222224</v>
      </c>
      <c r="AU27" s="76">
        <f t="shared" ref="AU27:AZ27" si="40">AVERAGE(AU7:AU23)</f>
        <v>336.55882352941177</v>
      </c>
      <c r="AV27" s="77">
        <f t="shared" si="40"/>
        <v>341.70882352941175</v>
      </c>
      <c r="AW27" s="241">
        <f t="shared" si="40"/>
        <v>2.1929411764705899</v>
      </c>
      <c r="AX27" s="58">
        <f t="shared" si="40"/>
        <v>7.3843204701180623E-3</v>
      </c>
      <c r="AY27" s="241">
        <f t="shared" si="40"/>
        <v>-2.9570588235294091</v>
      </c>
      <c r="AZ27" s="115">
        <f t="shared" si="40"/>
        <v>6.3386739219894817E-3</v>
      </c>
    </row>
    <row r="28" spans="1:52" x14ac:dyDescent="0.3">
      <c r="A28" s="13" t="s">
        <v>8</v>
      </c>
      <c r="B28" s="302">
        <f>MEDIAN(B7:B23)</f>
        <v>40.700000000000003</v>
      </c>
      <c r="C28" s="180">
        <f t="shared" ref="C28:I28" si="41">MEDIAN(C7:C23)</f>
        <v>38</v>
      </c>
      <c r="D28" s="180">
        <f t="shared" si="41"/>
        <v>2.6000000000000014</v>
      </c>
      <c r="E28" s="305">
        <f t="shared" si="41"/>
        <v>8.3426966292134832</v>
      </c>
      <c r="F28" s="67">
        <f t="shared" si="41"/>
        <v>0.8875209180014344</v>
      </c>
      <c r="G28" s="307">
        <f t="shared" si="41"/>
        <v>333.5</v>
      </c>
      <c r="H28" s="182">
        <f t="shared" si="41"/>
        <v>328</v>
      </c>
      <c r="I28" s="311">
        <f t="shared" si="41"/>
        <v>14.299999999999983</v>
      </c>
      <c r="J28" s="308"/>
      <c r="K28" s="13" t="s">
        <v>8</v>
      </c>
      <c r="L28" s="20">
        <f>MEDIAN(L7:L23)</f>
        <v>9500000</v>
      </c>
      <c r="M28" s="21">
        <f t="shared" ref="M28:Q28" si="42">MEDIAN(M7:M23)</f>
        <v>9700000</v>
      </c>
      <c r="N28" s="21">
        <f t="shared" si="42"/>
        <v>0</v>
      </c>
      <c r="O28" s="32">
        <f t="shared" si="42"/>
        <v>8342696.6292134831</v>
      </c>
      <c r="P28" s="33">
        <f t="shared" si="42"/>
        <v>8500000</v>
      </c>
      <c r="Q28" s="33">
        <f t="shared" si="42"/>
        <v>8700000</v>
      </c>
      <c r="R28" s="38">
        <f t="shared" ref="R28:X28" si="43">MEDIAN(R7:R23)</f>
        <v>-331687.24279835448</v>
      </c>
      <c r="S28" s="39">
        <f t="shared" si="43"/>
        <v>-4.044966375589687E-2</v>
      </c>
      <c r="T28" s="38">
        <f t="shared" si="43"/>
        <v>-414285.71428571455</v>
      </c>
      <c r="U28" s="72">
        <f t="shared" si="43"/>
        <v>-4.3609022556390986E-2</v>
      </c>
      <c r="V28" s="46">
        <f t="shared" si="43"/>
        <v>0.8875209180014344</v>
      </c>
      <c r="W28" s="47">
        <f t="shared" si="43"/>
        <v>0.92233009708737868</v>
      </c>
      <c r="X28" s="124">
        <f t="shared" si="43"/>
        <v>0.9285714285714286</v>
      </c>
      <c r="AA28" s="157"/>
      <c r="AB28" s="157"/>
      <c r="AD28" s="13" t="s">
        <v>8</v>
      </c>
      <c r="AE28" s="66">
        <f>MEDIAN(AE7:AE23)</f>
        <v>40.700000000000003</v>
      </c>
      <c r="AF28" s="216">
        <f t="shared" ref="AF28:AK28" si="44">MEDIAN(AF7:AF23)</f>
        <v>38</v>
      </c>
      <c r="AG28" s="216">
        <f t="shared" si="44"/>
        <v>38</v>
      </c>
      <c r="AH28" s="71">
        <f t="shared" si="44"/>
        <v>2.2000000000000028</v>
      </c>
      <c r="AI28" s="39">
        <f t="shared" si="44"/>
        <v>7.0967741935483941E-2</v>
      </c>
      <c r="AJ28" s="71">
        <f t="shared" si="44"/>
        <v>2.6000000000000014</v>
      </c>
      <c r="AK28" s="72">
        <f t="shared" si="44"/>
        <v>7.8787878787878851E-2</v>
      </c>
      <c r="AL28" s="157"/>
      <c r="AM28" s="157"/>
      <c r="AN28" s="157"/>
      <c r="AO28" s="157"/>
      <c r="AP28" s="157"/>
      <c r="AS28" s="13" t="s">
        <v>8</v>
      </c>
      <c r="AT28" s="66">
        <f t="shared" ref="AT28:AZ28" si="45">MEDIAN(AT7:AT23)</f>
        <v>333.5</v>
      </c>
      <c r="AU28" s="216">
        <f t="shared" si="45"/>
        <v>344.4</v>
      </c>
      <c r="AV28" s="216">
        <f t="shared" si="45"/>
        <v>328</v>
      </c>
      <c r="AW28" s="71">
        <f t="shared" si="45"/>
        <v>-0.37999999999999545</v>
      </c>
      <c r="AX28" s="39">
        <f t="shared" si="45"/>
        <v>-1.1889862327909562E-3</v>
      </c>
      <c r="AY28" s="71">
        <f t="shared" si="45"/>
        <v>14.299999999999983</v>
      </c>
      <c r="AZ28" s="72">
        <f t="shared" si="45"/>
        <v>5.3055555555555634E-2</v>
      </c>
    </row>
    <row r="29" spans="1:52" x14ac:dyDescent="0.3">
      <c r="A29" s="13" t="s">
        <v>9</v>
      </c>
      <c r="B29" s="302">
        <f>STDEV(B7:B23)</f>
        <v>4.8045245219846837</v>
      </c>
      <c r="C29" s="180">
        <f t="shared" ref="C29:I29" si="46">STDEV(C7:C23)</f>
        <v>6.7682215928123775</v>
      </c>
      <c r="D29" s="180">
        <f t="shared" si="46"/>
        <v>5.443661991927212</v>
      </c>
      <c r="E29" s="305">
        <f t="shared" si="46"/>
        <v>0.7347247106238648</v>
      </c>
      <c r="F29" s="67">
        <f t="shared" si="46"/>
        <v>4.973639159827406E-2</v>
      </c>
      <c r="G29" s="307">
        <f t="shared" si="46"/>
        <v>51.218391744969558</v>
      </c>
      <c r="H29" s="182">
        <f t="shared" si="46"/>
        <v>64.090239690060997</v>
      </c>
      <c r="I29" s="311">
        <f t="shared" si="46"/>
        <v>53.635866703716296</v>
      </c>
      <c r="J29" s="308"/>
      <c r="K29" s="13" t="s">
        <v>9</v>
      </c>
      <c r="L29" s="20">
        <f>STDEV(L7:L23)</f>
        <v>576691.88429504086</v>
      </c>
      <c r="M29" s="21">
        <f t="shared" ref="M29:Q29" si="47">STDEV(M7:M23)</f>
        <v>596989.9989309113</v>
      </c>
      <c r="N29" s="21">
        <f t="shared" si="47"/>
        <v>213514.01662213571</v>
      </c>
      <c r="O29" s="32">
        <f t="shared" si="47"/>
        <v>734724.71062386513</v>
      </c>
      <c r="P29" s="33">
        <f t="shared" si="47"/>
        <v>633559.04130832932</v>
      </c>
      <c r="Q29" s="33">
        <f t="shared" si="47"/>
        <v>569232.58453299874</v>
      </c>
      <c r="R29" s="38">
        <f t="shared" ref="R29:X29" si="48">STDEV(R7:R23)</f>
        <v>405484.19763889356</v>
      </c>
      <c r="S29" s="39">
        <f t="shared" si="48"/>
        <v>4.6880642171205446E-2</v>
      </c>
      <c r="T29" s="38">
        <f t="shared" si="48"/>
        <v>627475.84810586495</v>
      </c>
      <c r="U29" s="72">
        <f t="shared" si="48"/>
        <v>7.3235449605137823E-2</v>
      </c>
      <c r="V29" s="46">
        <f t="shared" si="48"/>
        <v>4.9736391598274095E-2</v>
      </c>
      <c r="W29" s="47">
        <f t="shared" si="48"/>
        <v>3.7024228222042384E-2</v>
      </c>
      <c r="X29" s="124">
        <f t="shared" si="48"/>
        <v>4.965588049603778E-2</v>
      </c>
      <c r="AA29" s="157"/>
      <c r="AB29" s="157"/>
      <c r="AD29" s="13" t="s">
        <v>9</v>
      </c>
      <c r="AE29" s="66">
        <f>STDEV(AE7:AE23)</f>
        <v>4.8045245219846837</v>
      </c>
      <c r="AF29" s="216">
        <f t="shared" ref="AF29:AK29" si="49">STDEV(AF7:AF23)</f>
        <v>4.2417740461773095</v>
      </c>
      <c r="AG29" s="216">
        <f t="shared" si="49"/>
        <v>6.7682215928123775</v>
      </c>
      <c r="AH29" s="71">
        <f t="shared" si="49"/>
        <v>3.053385295816085</v>
      </c>
      <c r="AI29" s="206">
        <f t="shared" si="49"/>
        <v>7.8131157569605494E-2</v>
      </c>
      <c r="AJ29" s="71">
        <f t="shared" si="49"/>
        <v>5.443661991927212</v>
      </c>
      <c r="AK29" s="72">
        <f t="shared" si="49"/>
        <v>0.13393694700681355</v>
      </c>
      <c r="AL29" s="157"/>
      <c r="AM29" s="157"/>
      <c r="AN29" s="157"/>
      <c r="AO29" s="157"/>
      <c r="AP29" s="157"/>
      <c r="AS29" s="13" t="s">
        <v>9</v>
      </c>
      <c r="AT29" s="66">
        <f t="shared" ref="AT29:AZ29" si="50">STDEV(AT7:AT23)</f>
        <v>51.218391744969558</v>
      </c>
      <c r="AU29" s="216">
        <f t="shared" si="50"/>
        <v>50.66277058678704</v>
      </c>
      <c r="AV29" s="216">
        <f t="shared" si="50"/>
        <v>64.090239690060997</v>
      </c>
      <c r="AW29" s="71">
        <f t="shared" si="50"/>
        <v>16.882889179841925</v>
      </c>
      <c r="AX29" s="206">
        <f t="shared" si="50"/>
        <v>4.7555290423598753E-2</v>
      </c>
      <c r="AY29" s="71">
        <f t="shared" si="50"/>
        <v>53.635866703716296</v>
      </c>
      <c r="AZ29" s="72">
        <f t="shared" si="50"/>
        <v>0.15059730829602136</v>
      </c>
    </row>
    <row r="30" spans="1:52" x14ac:dyDescent="0.3">
      <c r="A30" s="13" t="s">
        <v>11</v>
      </c>
      <c r="B30" s="302">
        <f>MIN(B7:B23)</f>
        <v>32.700000000000003</v>
      </c>
      <c r="C30" s="180">
        <f t="shared" ref="C30:I30" si="51">MIN(C7:C23)</f>
        <v>28</v>
      </c>
      <c r="D30" s="180">
        <f t="shared" si="51"/>
        <v>-9.2000000000000028</v>
      </c>
      <c r="E30" s="305">
        <f t="shared" si="51"/>
        <v>6.8636363636363633</v>
      </c>
      <c r="F30" s="67">
        <f t="shared" si="51"/>
        <v>0.77995867768595029</v>
      </c>
      <c r="G30" s="307">
        <f t="shared" si="51"/>
        <v>256.7</v>
      </c>
      <c r="H30" s="182">
        <f t="shared" si="51"/>
        <v>246.4</v>
      </c>
      <c r="I30" s="311">
        <f t="shared" si="51"/>
        <v>-116</v>
      </c>
      <c r="J30" s="308"/>
      <c r="K30" s="13" t="s">
        <v>11</v>
      </c>
      <c r="L30" s="20">
        <f>MIN(L7:L23)</f>
        <v>8500000</v>
      </c>
      <c r="M30" s="21">
        <f t="shared" ref="M30:Q30" si="52">MIN(M7:M23)</f>
        <v>8300000</v>
      </c>
      <c r="N30" s="21">
        <f t="shared" si="52"/>
        <v>-300000</v>
      </c>
      <c r="O30" s="32">
        <f t="shared" si="52"/>
        <v>6863636.3636363633</v>
      </c>
      <c r="P30" s="33">
        <f t="shared" si="52"/>
        <v>7700000</v>
      </c>
      <c r="Q30" s="33">
        <f t="shared" si="52"/>
        <v>7950000</v>
      </c>
      <c r="R30" s="38">
        <f t="shared" ref="R30:X30" si="53">MIN(R7:R23)</f>
        <v>-841823.05630026758</v>
      </c>
      <c r="S30" s="39">
        <f t="shared" si="53"/>
        <v>-0.10861865407319959</v>
      </c>
      <c r="T30" s="38">
        <f t="shared" si="53"/>
        <v>-1086363.6363636367</v>
      </c>
      <c r="U30" s="72">
        <f t="shared" si="53"/>
        <v>-0.13664951400800462</v>
      </c>
      <c r="V30" s="46">
        <f t="shared" si="53"/>
        <v>0.7799586776859504</v>
      </c>
      <c r="W30" s="47">
        <f t="shared" si="53"/>
        <v>0.84848484848484851</v>
      </c>
      <c r="X30" s="124">
        <f t="shared" si="53"/>
        <v>0.82692307692307687</v>
      </c>
      <c r="AA30" s="157"/>
      <c r="AB30" s="157"/>
      <c r="AD30" s="13" t="s">
        <v>11</v>
      </c>
      <c r="AE30" s="66">
        <f>MIN(AE7:AE23)</f>
        <v>32.700000000000003</v>
      </c>
      <c r="AF30" s="216">
        <f t="shared" ref="AF30:AK30" si="54">MIN(AF7:AF23)</f>
        <v>31</v>
      </c>
      <c r="AG30" s="216">
        <f t="shared" si="54"/>
        <v>28</v>
      </c>
      <c r="AH30" s="71">
        <f t="shared" si="54"/>
        <v>-3.6000000000000014</v>
      </c>
      <c r="AI30" s="39">
        <f t="shared" si="54"/>
        <v>-8.7804878048780566E-2</v>
      </c>
      <c r="AJ30" s="71">
        <f t="shared" si="54"/>
        <v>-9.2000000000000028</v>
      </c>
      <c r="AK30" s="72">
        <f t="shared" si="54"/>
        <v>-0.19166666666666676</v>
      </c>
      <c r="AL30" s="157"/>
      <c r="AM30" s="157"/>
      <c r="AN30" s="157"/>
      <c r="AO30" s="157"/>
      <c r="AP30" s="157"/>
      <c r="AS30" s="13" t="s">
        <v>11</v>
      </c>
      <c r="AT30" s="66">
        <f t="shared" ref="AT30:AZ30" si="55">MIN(AT7:AT23)</f>
        <v>256.7</v>
      </c>
      <c r="AU30" s="216">
        <f t="shared" si="55"/>
        <v>260.39999999999998</v>
      </c>
      <c r="AV30" s="216">
        <f t="shared" si="55"/>
        <v>246.4</v>
      </c>
      <c r="AW30" s="71">
        <f t="shared" si="55"/>
        <v>-24</v>
      </c>
      <c r="AX30" s="39">
        <f t="shared" si="55"/>
        <v>-6.1855670103092786E-2</v>
      </c>
      <c r="AY30" s="71">
        <f t="shared" si="55"/>
        <v>-116</v>
      </c>
      <c r="AZ30" s="72">
        <f t="shared" si="55"/>
        <v>-0.2416666666666667</v>
      </c>
    </row>
    <row r="31" spans="1:52" x14ac:dyDescent="0.3">
      <c r="A31" s="13" t="s">
        <v>12</v>
      </c>
      <c r="B31" s="302">
        <f>MAX(B7:B23)</f>
        <v>49.1</v>
      </c>
      <c r="C31" s="180">
        <f t="shared" ref="C31:I31" si="56">MAX(C7:C23)</f>
        <v>57</v>
      </c>
      <c r="D31" s="180">
        <f t="shared" si="56"/>
        <v>8</v>
      </c>
      <c r="E31" s="305">
        <f t="shared" si="56"/>
        <v>9.5780487804878049</v>
      </c>
      <c r="F31" s="67">
        <f t="shared" si="56"/>
        <v>0.95878571814400693</v>
      </c>
      <c r="G31" s="307">
        <f t="shared" si="56"/>
        <v>419.76</v>
      </c>
      <c r="H31" s="182">
        <f t="shared" si="56"/>
        <v>480</v>
      </c>
      <c r="I31" s="311">
        <f t="shared" si="56"/>
        <v>108.89999999999998</v>
      </c>
      <c r="J31" s="308"/>
      <c r="K31" s="13" t="s">
        <v>12</v>
      </c>
      <c r="L31" s="20">
        <f>MAX(L7:L23)</f>
        <v>10300000</v>
      </c>
      <c r="M31" s="21">
        <f t="shared" ref="M31:Q31" si="57">MAX(M7:M23)</f>
        <v>10500000</v>
      </c>
      <c r="N31" s="21">
        <f t="shared" si="57"/>
        <v>400000</v>
      </c>
      <c r="O31" s="32">
        <f t="shared" si="57"/>
        <v>9578048.7804878056</v>
      </c>
      <c r="P31" s="33">
        <f t="shared" si="57"/>
        <v>9700000</v>
      </c>
      <c r="Q31" s="33">
        <f t="shared" si="57"/>
        <v>10000000</v>
      </c>
      <c r="R31" s="38">
        <f t="shared" ref="R31:X31" si="58">MAX(R7:R23)</f>
        <v>491978.6096256692</v>
      </c>
      <c r="S31" s="39">
        <f t="shared" si="58"/>
        <v>5.4664289958407775E-2</v>
      </c>
      <c r="T31" s="38">
        <f t="shared" si="58"/>
        <v>991978.6096256692</v>
      </c>
      <c r="U31" s="72">
        <f t="shared" si="58"/>
        <v>0.11670336583831409</v>
      </c>
      <c r="V31" s="46">
        <f t="shared" si="58"/>
        <v>0.95878571814400704</v>
      </c>
      <c r="W31" s="47">
        <f t="shared" si="58"/>
        <v>0.96470588235294119</v>
      </c>
      <c r="X31" s="124">
        <f t="shared" si="58"/>
        <v>0.96808510638297873</v>
      </c>
      <c r="AA31" s="157"/>
      <c r="AB31" s="157"/>
      <c r="AD31" s="13" t="s">
        <v>12</v>
      </c>
      <c r="AE31" s="66">
        <f>MAX(AE7:AE23)</f>
        <v>49.1</v>
      </c>
      <c r="AF31" s="216">
        <f t="shared" ref="AF31:AK31" si="59">MAX(AF7:AF23)</f>
        <v>44</v>
      </c>
      <c r="AG31" s="216">
        <f t="shared" si="59"/>
        <v>57</v>
      </c>
      <c r="AH31" s="71">
        <f t="shared" si="59"/>
        <v>6.1000000000000014</v>
      </c>
      <c r="AI31" s="39">
        <f t="shared" si="59"/>
        <v>0.14186046511627914</v>
      </c>
      <c r="AJ31" s="71">
        <f t="shared" si="59"/>
        <v>8</v>
      </c>
      <c r="AK31" s="72">
        <f t="shared" si="59"/>
        <v>0.24242424242424243</v>
      </c>
      <c r="AL31" s="157"/>
      <c r="AM31" s="157"/>
      <c r="AN31" s="157"/>
      <c r="AO31" s="157"/>
      <c r="AP31" s="157"/>
      <c r="AS31" s="13" t="s">
        <v>12</v>
      </c>
      <c r="AT31" s="66">
        <f t="shared" ref="AT31:AZ31" si="60">MAX(AT7:AT23)</f>
        <v>419.76</v>
      </c>
      <c r="AU31" s="216">
        <f t="shared" si="60"/>
        <v>422.4</v>
      </c>
      <c r="AV31" s="216">
        <f t="shared" si="60"/>
        <v>480</v>
      </c>
      <c r="AW31" s="71">
        <f t="shared" si="60"/>
        <v>31.699999999999989</v>
      </c>
      <c r="AX31" s="39">
        <f t="shared" si="60"/>
        <v>8.7811634349030498E-2</v>
      </c>
      <c r="AY31" s="71">
        <f t="shared" si="60"/>
        <v>108.89999999999998</v>
      </c>
      <c r="AZ31" s="72">
        <f t="shared" si="60"/>
        <v>0.38372093023255816</v>
      </c>
    </row>
    <row r="32" spans="1:52" ht="15" thickBot="1" x14ac:dyDescent="0.35">
      <c r="A32" s="98" t="s">
        <v>13</v>
      </c>
      <c r="B32" s="103">
        <f>SKEW(B7:B23)</f>
        <v>0.46184314647920294</v>
      </c>
      <c r="C32" s="104">
        <f t="shared" ref="C32:I32" si="61">SKEW(C7:C23)</f>
        <v>1.0302845623308359</v>
      </c>
      <c r="D32" s="104">
        <f t="shared" si="61"/>
        <v>-0.72846343763512655</v>
      </c>
      <c r="E32" s="105">
        <f t="shared" si="61"/>
        <v>-0.19598358231624799</v>
      </c>
      <c r="F32" s="106">
        <f t="shared" si="61"/>
        <v>-0.38980291952864815</v>
      </c>
      <c r="G32" s="107">
        <f t="shared" si="61"/>
        <v>-0.13952898740208708</v>
      </c>
      <c r="H32" s="108">
        <f t="shared" si="61"/>
        <v>0.79704522209504702</v>
      </c>
      <c r="I32" s="312">
        <f t="shared" si="61"/>
        <v>-0.23661440550932672</v>
      </c>
      <c r="J32" s="308"/>
      <c r="K32" s="98" t="s">
        <v>13</v>
      </c>
      <c r="L32" s="103">
        <f>SKEW(L7:L23)</f>
        <v>-0.39573261250542774</v>
      </c>
      <c r="M32" s="104">
        <f t="shared" ref="M32:Q32" si="62">SKEW(M7:M23)</f>
        <v>-0.61150593171525891</v>
      </c>
      <c r="N32" s="104">
        <f t="shared" si="62"/>
        <v>0.17374397606504655</v>
      </c>
      <c r="O32" s="105">
        <f t="shared" si="62"/>
        <v>-0.19598358231624194</v>
      </c>
      <c r="P32" s="106">
        <f t="shared" si="62"/>
        <v>5.6947917645059916E-2</v>
      </c>
      <c r="Q32" s="106">
        <f t="shared" si="62"/>
        <v>0.52669845327010045</v>
      </c>
      <c r="R32" s="107">
        <f t="shared" ref="R32:X32" si="63">SKEW(R7:R23)</f>
        <v>0.44648808185152256</v>
      </c>
      <c r="S32" s="108">
        <f t="shared" si="63"/>
        <v>0.3951834883726173</v>
      </c>
      <c r="T32" s="107">
        <f t="shared" si="63"/>
        <v>0.8988965595527646</v>
      </c>
      <c r="U32" s="178">
        <f t="shared" si="63"/>
        <v>0.82314670408605772</v>
      </c>
      <c r="V32" s="109">
        <f t="shared" si="63"/>
        <v>-0.38980291952864238</v>
      </c>
      <c r="W32" s="110">
        <f t="shared" si="63"/>
        <v>-0.71277912877414451</v>
      </c>
      <c r="X32" s="195">
        <f t="shared" si="63"/>
        <v>-0.77254611232760528</v>
      </c>
      <c r="AA32" s="161"/>
      <c r="AB32" s="161"/>
      <c r="AD32" s="98" t="s">
        <v>13</v>
      </c>
      <c r="AE32" s="112">
        <f>SKEW(AE7:AE23)</f>
        <v>0.46184314647920294</v>
      </c>
      <c r="AF32" s="113">
        <f t="shared" ref="AF32:AK32" si="64">SKEW(AF7:AF23)</f>
        <v>-0.25018254300753395</v>
      </c>
      <c r="AG32" s="113">
        <f t="shared" si="64"/>
        <v>1.0302845623308359</v>
      </c>
      <c r="AH32" s="217">
        <f t="shared" si="64"/>
        <v>-0.24801836693312165</v>
      </c>
      <c r="AI32" s="207">
        <f t="shared" si="64"/>
        <v>-0.3309297553530805</v>
      </c>
      <c r="AJ32" s="217">
        <f t="shared" si="64"/>
        <v>-0.72846343763512655</v>
      </c>
      <c r="AK32" s="114">
        <f t="shared" si="64"/>
        <v>-0.46056665444185657</v>
      </c>
      <c r="AL32" s="159"/>
      <c r="AM32" s="159"/>
      <c r="AN32" s="159"/>
      <c r="AO32" s="159"/>
      <c r="AP32" s="159"/>
      <c r="AS32" s="98" t="s">
        <v>13</v>
      </c>
      <c r="AT32" s="112">
        <f t="shared" ref="AT32:AZ32" si="65">SKEW(AT7:AT23)</f>
        <v>-0.13952898740208708</v>
      </c>
      <c r="AU32" s="113">
        <f t="shared" si="65"/>
        <v>-5.7548729118927965E-2</v>
      </c>
      <c r="AV32" s="113">
        <f t="shared" si="65"/>
        <v>0.79704522209504702</v>
      </c>
      <c r="AW32" s="217">
        <f t="shared" si="65"/>
        <v>0.29755106930689801</v>
      </c>
      <c r="AX32" s="207">
        <f t="shared" si="65"/>
        <v>0.37381918476200654</v>
      </c>
      <c r="AY32" s="217">
        <f t="shared" si="65"/>
        <v>-0.23661440550932672</v>
      </c>
      <c r="AZ32" s="114">
        <f t="shared" si="65"/>
        <v>0.60137761045516547</v>
      </c>
    </row>
    <row r="33" spans="1:52" ht="15" thickBot="1" x14ac:dyDescent="0.35">
      <c r="A33" s="111"/>
      <c r="B33" s="111"/>
      <c r="C33" s="111"/>
      <c r="D33" s="111"/>
      <c r="E33" s="111"/>
      <c r="F33" s="111"/>
      <c r="G33" s="111"/>
      <c r="H33" s="111"/>
      <c r="I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AA33" s="92"/>
      <c r="AB33" s="92"/>
      <c r="AD33" s="111"/>
      <c r="AE33" s="111"/>
      <c r="AF33" s="111"/>
      <c r="AG33" s="111"/>
      <c r="AH33" s="218"/>
      <c r="AI33" s="111"/>
      <c r="AJ33" s="218"/>
      <c r="AK33" s="111"/>
      <c r="AL33" s="92"/>
      <c r="AM33" s="92"/>
      <c r="AN33" s="92"/>
      <c r="AO33" s="92"/>
      <c r="AP33" s="92"/>
      <c r="AS33" s="111"/>
      <c r="AT33" s="111"/>
      <c r="AU33" s="111"/>
      <c r="AV33" s="111"/>
      <c r="AW33" s="218"/>
      <c r="AX33" s="111"/>
      <c r="AY33" s="218"/>
      <c r="AZ33" s="111"/>
    </row>
    <row r="34" spans="1:52" ht="15" thickBot="1" x14ac:dyDescent="0.35">
      <c r="A34" s="91" t="s">
        <v>104</v>
      </c>
      <c r="B34" s="188"/>
      <c r="C34" s="19"/>
      <c r="D34" s="19"/>
      <c r="E34" s="303"/>
      <c r="F34" s="31"/>
      <c r="G34" s="175"/>
      <c r="H34" s="41"/>
      <c r="I34" s="119"/>
      <c r="K34" s="91" t="s">
        <v>104</v>
      </c>
      <c r="L34" s="188"/>
      <c r="M34" s="19"/>
      <c r="N34" s="19"/>
      <c r="O34" s="30"/>
      <c r="P34" s="31"/>
      <c r="Q34" s="31"/>
      <c r="R34" s="40"/>
      <c r="S34" s="41"/>
      <c r="T34" s="175"/>
      <c r="U34" s="176"/>
      <c r="V34" s="48"/>
      <c r="W34" s="49"/>
      <c r="X34" s="123"/>
      <c r="AA34" s="92"/>
      <c r="AB34" s="92"/>
      <c r="AD34" s="91" t="s">
        <v>104</v>
      </c>
      <c r="AE34" s="30"/>
      <c r="AF34" s="31"/>
      <c r="AG34" s="31"/>
      <c r="AH34" s="71"/>
      <c r="AI34" s="41"/>
      <c r="AJ34" s="71"/>
      <c r="AK34" s="119"/>
      <c r="AL34" s="92"/>
      <c r="AM34" s="92"/>
      <c r="AN34" s="92"/>
      <c r="AO34" s="92"/>
      <c r="AP34" s="92"/>
      <c r="AS34" s="91" t="s">
        <v>104</v>
      </c>
      <c r="AT34" s="30"/>
      <c r="AU34" s="31"/>
      <c r="AV34" s="31"/>
      <c r="AW34" s="71"/>
      <c r="AX34" s="41"/>
      <c r="AY34" s="71"/>
      <c r="AZ34" s="119"/>
    </row>
    <row r="35" spans="1:52" s="52" customFormat="1" ht="15" thickBot="1" x14ac:dyDescent="0.35">
      <c r="A35" s="53" t="s">
        <v>7</v>
      </c>
      <c r="B35" s="301">
        <f>AVERAGE(B18:B23)</f>
        <v>40.883333333333333</v>
      </c>
      <c r="C35" s="179">
        <f t="shared" ref="C35:I35" si="66">AVERAGE(C18:C23)</f>
        <v>39.5</v>
      </c>
      <c r="D35" s="179">
        <f t="shared" si="66"/>
        <v>1.383333333333334</v>
      </c>
      <c r="E35" s="304">
        <f t="shared" si="66"/>
        <v>7.7437679852157766</v>
      </c>
      <c r="F35" s="271">
        <f t="shared" si="66"/>
        <v>0.84828862349837664</v>
      </c>
      <c r="G35" s="306">
        <f t="shared" si="66"/>
        <v>317.5333333333333</v>
      </c>
      <c r="H35" s="181">
        <f t="shared" si="66"/>
        <v>336.20833333333331</v>
      </c>
      <c r="I35" s="310">
        <f t="shared" si="66"/>
        <v>-18.674999999999997</v>
      </c>
      <c r="K35" s="53" t="s">
        <v>7</v>
      </c>
      <c r="L35" s="54">
        <f t="shared" ref="L35:X35" si="67">AVERAGE(L18:L23)</f>
        <v>9133333.333333334</v>
      </c>
      <c r="M35" s="55">
        <f t="shared" si="67"/>
        <v>9166666.666666666</v>
      </c>
      <c r="N35" s="55">
        <f t="shared" si="67"/>
        <v>-33333.333333333336</v>
      </c>
      <c r="O35" s="192">
        <f t="shared" si="67"/>
        <v>7743767.9852157757</v>
      </c>
      <c r="P35" s="190">
        <f t="shared" si="67"/>
        <v>8316666.666666667</v>
      </c>
      <c r="Q35" s="193">
        <f t="shared" si="67"/>
        <v>8533333.333333334</v>
      </c>
      <c r="R35" s="57">
        <f t="shared" si="67"/>
        <v>-572898.68145088956</v>
      </c>
      <c r="S35" s="58">
        <f t="shared" si="67"/>
        <v>-6.9090858275467848E-2</v>
      </c>
      <c r="T35" s="177">
        <f t="shared" si="67"/>
        <v>-789565.34811755631</v>
      </c>
      <c r="U35" s="115">
        <f t="shared" si="67"/>
        <v>-9.2633087400696867E-2</v>
      </c>
      <c r="V35" s="194">
        <f t="shared" si="67"/>
        <v>0.84828862349837664</v>
      </c>
      <c r="W35" s="174">
        <f t="shared" si="67"/>
        <v>0.91092052849026761</v>
      </c>
      <c r="X35" s="58">
        <f t="shared" si="67"/>
        <v>0.9313321007392078</v>
      </c>
      <c r="AA35" s="158"/>
      <c r="AB35" s="158"/>
      <c r="AC35" s="56"/>
      <c r="AD35" s="53" t="s">
        <v>7</v>
      </c>
      <c r="AE35" s="75">
        <f t="shared" ref="AE35:AK35" si="68">AVERAGE(AE18:AE23)</f>
        <v>40.883333333333333</v>
      </c>
      <c r="AF35" s="76">
        <f t="shared" si="68"/>
        <v>36.666666666666664</v>
      </c>
      <c r="AG35" s="77">
        <f t="shared" si="68"/>
        <v>39.5</v>
      </c>
      <c r="AH35" s="75">
        <f t="shared" si="68"/>
        <v>4.2166666666666677</v>
      </c>
      <c r="AI35" s="58">
        <f t="shared" si="68"/>
        <v>0.11262442933368477</v>
      </c>
      <c r="AJ35" s="75">
        <f t="shared" si="68"/>
        <v>1.383333333333334</v>
      </c>
      <c r="AK35" s="58">
        <f t="shared" si="68"/>
        <v>5.4635688319898866E-2</v>
      </c>
      <c r="AL35" s="158"/>
      <c r="AM35" s="158"/>
      <c r="AN35" s="158"/>
      <c r="AO35" s="158"/>
      <c r="AP35" s="158"/>
      <c r="AQ35" s="56"/>
      <c r="AR35" s="56"/>
      <c r="AS35" s="53" t="s">
        <v>7</v>
      </c>
      <c r="AT35" s="75">
        <f t="shared" ref="AT35:AZ35" si="69">AVERAGE(AT18:AT23)</f>
        <v>317.5333333333333</v>
      </c>
      <c r="AU35" s="76">
        <f t="shared" si="69"/>
        <v>305.58333333333331</v>
      </c>
      <c r="AV35" s="77">
        <f t="shared" si="69"/>
        <v>336.20833333333331</v>
      </c>
      <c r="AW35" s="241">
        <f t="shared" si="69"/>
        <v>11.949999999999998</v>
      </c>
      <c r="AX35" s="58">
        <f t="shared" si="69"/>
        <v>3.5828430152132461E-2</v>
      </c>
      <c r="AY35" s="241">
        <f t="shared" si="69"/>
        <v>-18.674999999999997</v>
      </c>
      <c r="AZ35" s="58">
        <f t="shared" si="69"/>
        <v>-4.5571346642370669E-2</v>
      </c>
    </row>
    <row r="36" spans="1:52" x14ac:dyDescent="0.3">
      <c r="A36" s="13" t="s">
        <v>8</v>
      </c>
      <c r="B36" s="302">
        <f>MEDIAN(B18:B23)</f>
        <v>39.25</v>
      </c>
      <c r="C36" s="180">
        <f t="shared" ref="C36:I36" si="70">MEDIAN(C18:C23)</f>
        <v>37.5</v>
      </c>
      <c r="D36" s="180">
        <f t="shared" si="70"/>
        <v>2.75</v>
      </c>
      <c r="E36" s="305">
        <f t="shared" si="70"/>
        <v>7.8603611978779302</v>
      </c>
      <c r="F36" s="67">
        <f t="shared" si="70"/>
        <v>0.84963063031707864</v>
      </c>
      <c r="G36" s="307">
        <f t="shared" si="70"/>
        <v>300.8</v>
      </c>
      <c r="H36" s="182">
        <f t="shared" si="70"/>
        <v>321.5</v>
      </c>
      <c r="I36" s="311">
        <f t="shared" si="70"/>
        <v>-14.775000000000006</v>
      </c>
      <c r="K36" s="13" t="s">
        <v>8</v>
      </c>
      <c r="L36" s="20">
        <f t="shared" ref="L36:X36" si="71">MEDIAN(L18:L23)</f>
        <v>9300000</v>
      </c>
      <c r="M36" s="21">
        <f t="shared" si="71"/>
        <v>9300000</v>
      </c>
      <c r="N36" s="21">
        <f t="shared" si="71"/>
        <v>0</v>
      </c>
      <c r="O36" s="32">
        <f t="shared" si="71"/>
        <v>7860361.1978779305</v>
      </c>
      <c r="P36" s="33">
        <f t="shared" si="71"/>
        <v>8300000</v>
      </c>
      <c r="Q36" s="33">
        <f t="shared" si="71"/>
        <v>8575000</v>
      </c>
      <c r="R36" s="38">
        <f t="shared" si="71"/>
        <v>-514792.74763286812</v>
      </c>
      <c r="S36" s="39">
        <f t="shared" si="71"/>
        <v>-6.2347450410041527E-2</v>
      </c>
      <c r="T36" s="38">
        <f t="shared" si="71"/>
        <v>-853981.27363095386</v>
      </c>
      <c r="U36" s="72">
        <f t="shared" si="71"/>
        <v>-9.7360558952767351E-2</v>
      </c>
      <c r="V36" s="46">
        <f t="shared" si="71"/>
        <v>0.84963063031707864</v>
      </c>
      <c r="W36" s="47">
        <f t="shared" si="71"/>
        <v>0.90374056280027459</v>
      </c>
      <c r="X36" s="124">
        <f t="shared" si="71"/>
        <v>0.93115942028985499</v>
      </c>
      <c r="AA36" s="157"/>
      <c r="AB36" s="157"/>
      <c r="AD36" s="13" t="s">
        <v>8</v>
      </c>
      <c r="AE36" s="66">
        <f t="shared" ref="AE36:AK36" si="72">MEDIAN(AE18:AE23)</f>
        <v>39.25</v>
      </c>
      <c r="AF36" s="216">
        <f t="shared" si="72"/>
        <v>35.5</v>
      </c>
      <c r="AG36" s="216">
        <f t="shared" si="72"/>
        <v>37.5</v>
      </c>
      <c r="AH36" s="71">
        <f t="shared" si="72"/>
        <v>4</v>
      </c>
      <c r="AI36" s="39">
        <f t="shared" si="72"/>
        <v>0.11634290540540537</v>
      </c>
      <c r="AJ36" s="71">
        <f t="shared" si="72"/>
        <v>2.75</v>
      </c>
      <c r="AK36" s="120">
        <f t="shared" si="72"/>
        <v>7.507518796992485E-2</v>
      </c>
      <c r="AL36" s="157"/>
      <c r="AM36" s="157"/>
      <c r="AN36" s="157"/>
      <c r="AO36" s="157"/>
      <c r="AP36" s="157"/>
      <c r="AS36" s="13" t="s">
        <v>8</v>
      </c>
      <c r="AT36" s="66">
        <f t="shared" ref="AT36:AZ36" si="73">MEDIAN(AT18:AT23)</f>
        <v>300.8</v>
      </c>
      <c r="AU36" s="216">
        <f t="shared" si="73"/>
        <v>285.85000000000002</v>
      </c>
      <c r="AV36" s="216">
        <f t="shared" si="73"/>
        <v>321.5</v>
      </c>
      <c r="AW36" s="71">
        <f t="shared" si="73"/>
        <v>14.950000000000017</v>
      </c>
      <c r="AX36" s="39">
        <f t="shared" si="73"/>
        <v>4.406111537894486E-2</v>
      </c>
      <c r="AY36" s="71">
        <f t="shared" si="73"/>
        <v>-14.775000000000006</v>
      </c>
      <c r="AZ36" s="120">
        <f t="shared" si="73"/>
        <v>-5.1181347361929475E-2</v>
      </c>
    </row>
    <row r="37" spans="1:52" x14ac:dyDescent="0.3">
      <c r="A37" s="13" t="s">
        <v>9</v>
      </c>
      <c r="B37" s="302">
        <f>STDEV(B18:B23)</f>
        <v>6.6799451095549216</v>
      </c>
      <c r="C37" s="180">
        <f t="shared" ref="C37:I37" si="74">STDEV(C18:C23)</f>
        <v>9.7313925005622917</v>
      </c>
      <c r="D37" s="180">
        <f t="shared" si="74"/>
        <v>5.5336847277981667</v>
      </c>
      <c r="E37" s="305">
        <f t="shared" si="74"/>
        <v>0.47622260669002342</v>
      </c>
      <c r="F37" s="67">
        <f t="shared" si="74"/>
        <v>4.8725411035337785E-2</v>
      </c>
      <c r="G37" s="307">
        <f t="shared" si="74"/>
        <v>62.358533230558884</v>
      </c>
      <c r="H37" s="182">
        <f t="shared" si="74"/>
        <v>78.973643810240105</v>
      </c>
      <c r="I37" s="311">
        <f t="shared" si="74"/>
        <v>38.593985930452952</v>
      </c>
      <c r="K37" s="13" t="s">
        <v>9</v>
      </c>
      <c r="L37" s="20">
        <f t="shared" ref="L37:X37" si="75">STDEV(L18:L23)</f>
        <v>393276.83210007002</v>
      </c>
      <c r="M37" s="21">
        <f t="shared" si="75"/>
        <v>432049.37989385735</v>
      </c>
      <c r="N37" s="21">
        <f t="shared" si="75"/>
        <v>186189.86725025257</v>
      </c>
      <c r="O37" s="32">
        <f t="shared" si="75"/>
        <v>476222.60669002339</v>
      </c>
      <c r="P37" s="33">
        <f t="shared" si="75"/>
        <v>435507.3669487884</v>
      </c>
      <c r="Q37" s="33">
        <f t="shared" si="75"/>
        <v>419126.0749066642</v>
      </c>
      <c r="R37" s="38">
        <f t="shared" si="75"/>
        <v>194752.50535376111</v>
      </c>
      <c r="S37" s="39">
        <f t="shared" si="75"/>
        <v>2.4471505830711723E-2</v>
      </c>
      <c r="T37" s="38">
        <f t="shared" si="75"/>
        <v>263741.90311890881</v>
      </c>
      <c r="U37" s="72">
        <f t="shared" si="75"/>
        <v>3.2252000942900837E-2</v>
      </c>
      <c r="V37" s="46">
        <f t="shared" si="75"/>
        <v>4.8725411035337757E-2</v>
      </c>
      <c r="W37" s="47">
        <f t="shared" si="75"/>
        <v>3.7977510307282664E-2</v>
      </c>
      <c r="X37" s="124">
        <f t="shared" si="75"/>
        <v>3.2913686173243147E-2</v>
      </c>
      <c r="AA37" s="157"/>
      <c r="AB37" s="157"/>
      <c r="AD37" s="13" t="s">
        <v>9</v>
      </c>
      <c r="AE37" s="66">
        <f t="shared" ref="AE37:AK37" si="76">STDEV(AE18:AE23)</f>
        <v>6.6799451095549216</v>
      </c>
      <c r="AF37" s="216">
        <f t="shared" si="76"/>
        <v>5.3166405433004975</v>
      </c>
      <c r="AG37" s="216">
        <f t="shared" si="76"/>
        <v>9.7313925005622917</v>
      </c>
      <c r="AH37" s="71">
        <f t="shared" si="76"/>
        <v>1.4358505028959891</v>
      </c>
      <c r="AI37" s="39">
        <f t="shared" si="76"/>
        <v>2.5093067086811797E-2</v>
      </c>
      <c r="AJ37" s="71">
        <f t="shared" si="76"/>
        <v>5.5336847277981667</v>
      </c>
      <c r="AK37" s="120">
        <f t="shared" si="76"/>
        <v>0.12578951992778742</v>
      </c>
      <c r="AL37" s="157"/>
      <c r="AM37" s="157"/>
      <c r="AN37" s="157"/>
      <c r="AO37" s="157"/>
      <c r="AP37" s="157"/>
      <c r="AS37" s="13" t="s">
        <v>9</v>
      </c>
      <c r="AT37" s="66">
        <f t="shared" ref="AT37:AZ37" si="77">STDEV(AT18:AT23)</f>
        <v>62.358533230558884</v>
      </c>
      <c r="AU37" s="216">
        <f t="shared" si="77"/>
        <v>52.839773529668676</v>
      </c>
      <c r="AV37" s="216">
        <f t="shared" si="77"/>
        <v>78.973643810240105</v>
      </c>
      <c r="AW37" s="71">
        <f t="shared" si="77"/>
        <v>12.580739246960006</v>
      </c>
      <c r="AX37" s="39">
        <f t="shared" si="77"/>
        <v>3.8431781445812115E-2</v>
      </c>
      <c r="AY37" s="71">
        <f t="shared" si="77"/>
        <v>38.593985930452952</v>
      </c>
      <c r="AZ37" s="120">
        <f t="shared" si="77"/>
        <v>9.4401777536214301E-2</v>
      </c>
    </row>
    <row r="38" spans="1:52" x14ac:dyDescent="0.3">
      <c r="A38" s="13" t="s">
        <v>11</v>
      </c>
      <c r="B38" s="302">
        <f>MIN(B18:B23)</f>
        <v>33.200000000000003</v>
      </c>
      <c r="C38" s="180">
        <f t="shared" ref="C38:I38" si="78">MIN(C18:C23)</f>
        <v>28</v>
      </c>
      <c r="D38" s="180">
        <f t="shared" si="78"/>
        <v>-8.3999999999999986</v>
      </c>
      <c r="E38" s="305">
        <f t="shared" si="78"/>
        <v>6.8636363636363633</v>
      </c>
      <c r="F38" s="67">
        <f t="shared" si="78"/>
        <v>0.77995867768595029</v>
      </c>
      <c r="G38" s="307">
        <f t="shared" si="78"/>
        <v>256.7</v>
      </c>
      <c r="H38" s="182">
        <f t="shared" si="78"/>
        <v>246.4</v>
      </c>
      <c r="I38" s="311">
        <f t="shared" si="78"/>
        <v>-85</v>
      </c>
      <c r="K38" s="13" t="s">
        <v>11</v>
      </c>
      <c r="L38" s="20">
        <f t="shared" ref="L38:X38" si="79">MIN(L18:L23)</f>
        <v>8500000</v>
      </c>
      <c r="M38" s="21">
        <f t="shared" si="79"/>
        <v>8500000</v>
      </c>
      <c r="N38" s="21">
        <f t="shared" si="79"/>
        <v>-300000</v>
      </c>
      <c r="O38" s="32">
        <f t="shared" si="79"/>
        <v>6863636.3636363633</v>
      </c>
      <c r="P38" s="33">
        <f t="shared" si="79"/>
        <v>7700000</v>
      </c>
      <c r="Q38" s="33">
        <f t="shared" si="79"/>
        <v>7950000</v>
      </c>
      <c r="R38" s="38">
        <f t="shared" si="79"/>
        <v>-836363.6363636367</v>
      </c>
      <c r="S38" s="39">
        <f t="shared" si="79"/>
        <v>-0.10861865407319959</v>
      </c>
      <c r="T38" s="38">
        <f t="shared" si="79"/>
        <v>-1086363.6363636367</v>
      </c>
      <c r="U38" s="72">
        <f t="shared" si="79"/>
        <v>-0.13664951400800462</v>
      </c>
      <c r="V38" s="46">
        <f t="shared" si="79"/>
        <v>0.7799586776859504</v>
      </c>
      <c r="W38" s="47">
        <f t="shared" si="79"/>
        <v>0.87096774193548387</v>
      </c>
      <c r="X38" s="124">
        <f t="shared" si="79"/>
        <v>0.88947368421052631</v>
      </c>
      <c r="AA38" s="157"/>
      <c r="AB38" s="157"/>
      <c r="AD38" s="13" t="s">
        <v>11</v>
      </c>
      <c r="AE38" s="66">
        <f t="shared" ref="AE38:AK38" si="80">MIN(AE18:AE23)</f>
        <v>33.200000000000003</v>
      </c>
      <c r="AF38" s="216">
        <f t="shared" si="80"/>
        <v>31</v>
      </c>
      <c r="AG38" s="216">
        <f t="shared" si="80"/>
        <v>28</v>
      </c>
      <c r="AH38" s="71">
        <f t="shared" si="80"/>
        <v>2.2000000000000028</v>
      </c>
      <c r="AI38" s="39">
        <f t="shared" si="80"/>
        <v>7.0967741935483941E-2</v>
      </c>
      <c r="AJ38" s="71">
        <f t="shared" si="80"/>
        <v>-8.3999999999999986</v>
      </c>
      <c r="AK38" s="120">
        <f t="shared" si="80"/>
        <v>-0.14736842105263159</v>
      </c>
      <c r="AL38" s="157"/>
      <c r="AM38" s="157"/>
      <c r="AN38" s="157"/>
      <c r="AO38" s="157"/>
      <c r="AP38" s="157"/>
      <c r="AS38" s="13" t="s">
        <v>11</v>
      </c>
      <c r="AT38" s="66">
        <f t="shared" ref="AT38:AZ38" si="81">MIN(AT18:AT23)</f>
        <v>256.7</v>
      </c>
      <c r="AU38" s="216">
        <f t="shared" si="81"/>
        <v>260.39999999999998</v>
      </c>
      <c r="AV38" s="216">
        <f t="shared" si="81"/>
        <v>246.4</v>
      </c>
      <c r="AW38" s="71">
        <f t="shared" si="81"/>
        <v>-5.1000000000000227</v>
      </c>
      <c r="AX38" s="39">
        <f t="shared" si="81"/>
        <v>-1.9480519480519543E-2</v>
      </c>
      <c r="AY38" s="71">
        <f t="shared" si="81"/>
        <v>-85</v>
      </c>
      <c r="AZ38" s="120">
        <f t="shared" si="81"/>
        <v>-0.18185708172871207</v>
      </c>
    </row>
    <row r="39" spans="1:52" x14ac:dyDescent="0.3">
      <c r="A39" s="13" t="s">
        <v>12</v>
      </c>
      <c r="B39" s="302">
        <f>MAX(B18:B23)</f>
        <v>49.1</v>
      </c>
      <c r="C39" s="180">
        <f t="shared" ref="C39:I39" si="82">MAX(C18:C23)</f>
        <v>57</v>
      </c>
      <c r="D39" s="180">
        <f t="shared" si="82"/>
        <v>7.1000000000000014</v>
      </c>
      <c r="E39" s="305">
        <f t="shared" si="82"/>
        <v>8.2240325865580441</v>
      </c>
      <c r="F39" s="67">
        <f t="shared" si="82"/>
        <v>0.92568385378842888</v>
      </c>
      <c r="G39" s="307">
        <f t="shared" si="82"/>
        <v>403.8</v>
      </c>
      <c r="H39" s="182">
        <f t="shared" si="82"/>
        <v>467.4</v>
      </c>
      <c r="I39" s="311">
        <f t="shared" si="82"/>
        <v>21.600000000000023</v>
      </c>
      <c r="K39" s="13" t="s">
        <v>12</v>
      </c>
      <c r="L39" s="20">
        <f t="shared" ref="L39:X39" si="83">MAX(L18:L23)</f>
        <v>9500000</v>
      </c>
      <c r="M39" s="21">
        <f t="shared" si="83"/>
        <v>9600000</v>
      </c>
      <c r="N39" s="21">
        <f t="shared" si="83"/>
        <v>200000</v>
      </c>
      <c r="O39" s="32">
        <f t="shared" si="83"/>
        <v>8224032.586558044</v>
      </c>
      <c r="P39" s="33">
        <f t="shared" si="83"/>
        <v>9000000</v>
      </c>
      <c r="Q39" s="33">
        <f t="shared" si="83"/>
        <v>9100000</v>
      </c>
      <c r="R39" s="38">
        <f t="shared" si="83"/>
        <v>-331687.24279835448</v>
      </c>
      <c r="S39" s="39">
        <f t="shared" si="83"/>
        <v>-4.044966375589687E-2</v>
      </c>
      <c r="T39" s="38">
        <f t="shared" si="83"/>
        <v>-331687.24279835448</v>
      </c>
      <c r="U39" s="72">
        <f t="shared" si="83"/>
        <v>-4.044966375589687E-2</v>
      </c>
      <c r="V39" s="46">
        <f t="shared" si="83"/>
        <v>0.92568385378842888</v>
      </c>
      <c r="W39" s="47">
        <f t="shared" si="83"/>
        <v>0.96470588235294119</v>
      </c>
      <c r="X39" s="124">
        <f t="shared" si="83"/>
        <v>0.96808510638297873</v>
      </c>
      <c r="AA39" s="157"/>
      <c r="AB39" s="157"/>
      <c r="AD39" s="13" t="s">
        <v>12</v>
      </c>
      <c r="AE39" s="66">
        <f t="shared" ref="AE39:AK39" si="84">MAX(AE18:AE23)</f>
        <v>49.1</v>
      </c>
      <c r="AF39" s="216">
        <f t="shared" si="84"/>
        <v>43</v>
      </c>
      <c r="AG39" s="216">
        <f t="shared" si="84"/>
        <v>57</v>
      </c>
      <c r="AH39" s="71">
        <f t="shared" si="84"/>
        <v>6.1000000000000014</v>
      </c>
      <c r="AI39" s="39">
        <f t="shared" si="84"/>
        <v>0.14186046511627914</v>
      </c>
      <c r="AJ39" s="71">
        <f t="shared" si="84"/>
        <v>7.1000000000000014</v>
      </c>
      <c r="AK39" s="120">
        <f t="shared" si="84"/>
        <v>0.18571428571428572</v>
      </c>
      <c r="AL39" s="157"/>
      <c r="AM39" s="157"/>
      <c r="AN39" s="157"/>
      <c r="AO39" s="157"/>
      <c r="AP39" s="157"/>
      <c r="AS39" s="13" t="s">
        <v>12</v>
      </c>
      <c r="AT39" s="66">
        <f t="shared" ref="AT39:AZ39" si="85">MAX(AT18:AT23)</f>
        <v>403.8</v>
      </c>
      <c r="AU39" s="216">
        <f t="shared" si="85"/>
        <v>387</v>
      </c>
      <c r="AV39" s="216">
        <f t="shared" si="85"/>
        <v>467.4</v>
      </c>
      <c r="AW39" s="71">
        <f t="shared" si="85"/>
        <v>29.799999999999955</v>
      </c>
      <c r="AX39" s="39">
        <f t="shared" si="85"/>
        <v>8.4515031196823465E-2</v>
      </c>
      <c r="AY39" s="71">
        <f t="shared" si="85"/>
        <v>21.600000000000023</v>
      </c>
      <c r="AZ39" s="120">
        <f t="shared" si="85"/>
        <v>5.8035714285714191E-2</v>
      </c>
    </row>
    <row r="40" spans="1:52" ht="15" thickBot="1" x14ac:dyDescent="0.35">
      <c r="A40" s="98" t="s">
        <v>13</v>
      </c>
      <c r="B40" s="103">
        <f>SKEW(B18:B23)</f>
        <v>0.39721146211724329</v>
      </c>
      <c r="C40" s="104">
        <f t="shared" ref="C40:I40" si="86">SKEW(C18:C23)</f>
        <v>1.218799104004483</v>
      </c>
      <c r="D40" s="104">
        <f t="shared" si="86"/>
        <v>-1.2449351341889445</v>
      </c>
      <c r="E40" s="105">
        <f t="shared" si="86"/>
        <v>-1.5132199081745126</v>
      </c>
      <c r="F40" s="106">
        <f t="shared" si="86"/>
        <v>0.32494104779231764</v>
      </c>
      <c r="G40" s="107">
        <f t="shared" si="86"/>
        <v>0.59591402431935947</v>
      </c>
      <c r="H40" s="108">
        <f t="shared" si="86"/>
        <v>0.87088402882769655</v>
      </c>
      <c r="I40" s="312">
        <f t="shared" si="86"/>
        <v>-1.005015258234603</v>
      </c>
      <c r="K40" s="98" t="s">
        <v>13</v>
      </c>
      <c r="L40" s="103">
        <f t="shared" ref="L40:X40" si="87">SKEW(L18:L23)</f>
        <v>-1.0532635134368586</v>
      </c>
      <c r="M40" s="104">
        <f t="shared" si="87"/>
        <v>-0.79769321096473633</v>
      </c>
      <c r="N40" s="104">
        <f t="shared" si="87"/>
        <v>-0.39248603673315063</v>
      </c>
      <c r="O40" s="105">
        <f t="shared" si="87"/>
        <v>-1.5132199081745048</v>
      </c>
      <c r="P40" s="106">
        <f t="shared" si="87"/>
        <v>0.28893839103721208</v>
      </c>
      <c r="Q40" s="106">
        <f t="shared" si="87"/>
        <v>-0.12450230685236929</v>
      </c>
      <c r="R40" s="107">
        <f t="shared" si="87"/>
        <v>-0.42893204424127945</v>
      </c>
      <c r="S40" s="108">
        <f t="shared" si="87"/>
        <v>-0.80417656051228159</v>
      </c>
      <c r="T40" s="107">
        <f t="shared" si="87"/>
        <v>1.0984404656529925</v>
      </c>
      <c r="U40" s="178">
        <f t="shared" si="87"/>
        <v>0.51443507773063568</v>
      </c>
      <c r="V40" s="109">
        <f t="shared" si="87"/>
        <v>0.32494104779232241</v>
      </c>
      <c r="W40" s="110">
        <f t="shared" si="87"/>
        <v>0.51012586274020788</v>
      </c>
      <c r="X40" s="195">
        <f t="shared" si="87"/>
        <v>-7.1626005102004425E-2</v>
      </c>
      <c r="AA40" s="161"/>
      <c r="AB40" s="161"/>
      <c r="AD40" s="98" t="s">
        <v>13</v>
      </c>
      <c r="AE40" s="112">
        <f t="shared" ref="AE40:AK40" si="88">SKEW(AE18:AE23)</f>
        <v>0.39721146211724329</v>
      </c>
      <c r="AF40" s="113">
        <f t="shared" si="88"/>
        <v>0.41033501434170777</v>
      </c>
      <c r="AG40" s="113">
        <f t="shared" si="88"/>
        <v>1.218799104004483</v>
      </c>
      <c r="AH40" s="217">
        <f t="shared" si="88"/>
        <v>5.5490900246483309E-2</v>
      </c>
      <c r="AI40" s="207">
        <f t="shared" si="88"/>
        <v>-0.81765713162195797</v>
      </c>
      <c r="AJ40" s="217">
        <f t="shared" si="88"/>
        <v>-1.2449351341889445</v>
      </c>
      <c r="AK40" s="121">
        <f t="shared" si="88"/>
        <v>-0.76437865699767427</v>
      </c>
      <c r="AL40" s="159"/>
      <c r="AM40" s="159"/>
      <c r="AN40" s="159"/>
      <c r="AO40" s="159"/>
      <c r="AP40" s="159"/>
      <c r="AS40" s="98" t="s">
        <v>13</v>
      </c>
      <c r="AT40" s="112">
        <f t="shared" ref="AT40:AZ40" si="89">SKEW(AT18:AT23)</f>
        <v>0.59591402431935947</v>
      </c>
      <c r="AU40" s="113">
        <f t="shared" si="89"/>
        <v>0.87309733794012356</v>
      </c>
      <c r="AV40" s="113">
        <f t="shared" si="89"/>
        <v>0.87088402882769655</v>
      </c>
      <c r="AW40" s="217">
        <f t="shared" si="89"/>
        <v>-9.6258342367538233E-2</v>
      </c>
      <c r="AX40" s="207">
        <f t="shared" si="89"/>
        <v>-0.41769728663157252</v>
      </c>
      <c r="AY40" s="217">
        <f t="shared" si="89"/>
        <v>-1.005015258234603</v>
      </c>
      <c r="AZ40" s="121">
        <f t="shared" si="89"/>
        <v>-0.20535416515585311</v>
      </c>
    </row>
    <row r="41" spans="1:52" ht="15" thickBot="1" x14ac:dyDescent="0.35">
      <c r="K41" s="111"/>
      <c r="L41" s="111"/>
      <c r="M41" s="111"/>
      <c r="N41" s="111"/>
      <c r="O41" s="111"/>
      <c r="P41" s="111"/>
      <c r="Q41" s="111"/>
      <c r="R41" s="111"/>
      <c r="S41" s="111"/>
      <c r="T41" s="99"/>
      <c r="U41" s="99"/>
      <c r="V41" s="111"/>
      <c r="W41" s="111"/>
      <c r="X41" s="111"/>
      <c r="AA41" s="92"/>
      <c r="AB41" s="92"/>
      <c r="AD41" s="111"/>
      <c r="AE41" s="111"/>
      <c r="AF41" s="111"/>
      <c r="AG41" s="111"/>
      <c r="AH41" s="111"/>
      <c r="AI41" s="111"/>
      <c r="AJ41" s="111"/>
      <c r="AK41" s="111"/>
      <c r="AL41" s="92"/>
      <c r="AM41" s="92"/>
      <c r="AN41" s="92"/>
      <c r="AO41" s="92"/>
      <c r="AP41" s="92"/>
      <c r="AS41" s="111"/>
      <c r="AT41" s="111"/>
      <c r="AU41" s="128"/>
      <c r="AV41" s="111"/>
      <c r="AW41" s="111"/>
      <c r="AX41" s="111"/>
      <c r="AY41" s="111"/>
      <c r="AZ41" s="111"/>
    </row>
    <row r="42" spans="1:52" hidden="1" x14ac:dyDescent="0.3">
      <c r="K42" s="91" t="s">
        <v>20</v>
      </c>
      <c r="L42" s="17"/>
      <c r="M42" s="19"/>
      <c r="N42" s="19"/>
      <c r="O42" s="30"/>
      <c r="P42" s="31"/>
      <c r="Q42" s="31"/>
      <c r="R42" s="40"/>
      <c r="S42" s="41"/>
      <c r="T42" s="92"/>
      <c r="U42" s="92"/>
      <c r="V42" s="48"/>
      <c r="W42" s="49"/>
      <c r="X42" s="123"/>
      <c r="AA42" s="92"/>
      <c r="AB42" s="92"/>
      <c r="AD42" s="91" t="s">
        <v>20</v>
      </c>
      <c r="AE42" s="17"/>
      <c r="AF42" s="19"/>
      <c r="AG42" s="19"/>
      <c r="AH42" s="30"/>
      <c r="AI42" s="31"/>
      <c r="AJ42" s="40"/>
      <c r="AK42" s="119"/>
      <c r="AL42" s="92"/>
      <c r="AM42" s="92"/>
      <c r="AN42" s="92"/>
      <c r="AO42" s="92"/>
      <c r="AP42" s="92"/>
      <c r="AS42" s="91" t="s">
        <v>20</v>
      </c>
      <c r="AT42" s="17"/>
      <c r="AU42" s="80"/>
      <c r="AV42" s="19"/>
      <c r="AW42" s="30"/>
      <c r="AX42" s="116"/>
      <c r="AY42" s="40"/>
      <c r="AZ42" s="119"/>
    </row>
    <row r="43" spans="1:52" s="52" customFormat="1" ht="15" hidden="1" thickBot="1" x14ac:dyDescent="0.35">
      <c r="K43" s="53" t="s">
        <v>7</v>
      </c>
      <c r="L43" s="54">
        <f>AVERAGE(L19:L21)</f>
        <v>9366666.666666666</v>
      </c>
      <c r="M43" s="55">
        <f t="shared" ref="M43:X43" si="90">AVERAGE(M19:M21)</f>
        <v>9500000</v>
      </c>
      <c r="N43" s="55"/>
      <c r="O43" s="57">
        <f t="shared" si="90"/>
        <v>7898149.0304307686</v>
      </c>
      <c r="P43" s="84">
        <f t="shared" si="90"/>
        <v>8500000</v>
      </c>
      <c r="Q43" s="63">
        <f t="shared" si="90"/>
        <v>8783333.333333334</v>
      </c>
      <c r="R43" s="57">
        <f t="shared" si="90"/>
        <v>-601850.9695692308</v>
      </c>
      <c r="S43" s="58">
        <f t="shared" si="90"/>
        <v>-7.030450077121124E-2</v>
      </c>
      <c r="T43" s="158"/>
      <c r="U43" s="158"/>
      <c r="V43" s="59">
        <f t="shared" si="90"/>
        <v>0.84305769043563605</v>
      </c>
      <c r="W43" s="85">
        <f t="shared" si="90"/>
        <v>0.90718732314657613</v>
      </c>
      <c r="X43" s="58">
        <f t="shared" si="90"/>
        <v>0.92474181908672382</v>
      </c>
      <c r="AA43" s="158"/>
      <c r="AB43" s="158"/>
      <c r="AC43" s="56"/>
      <c r="AD43" s="53" t="s">
        <v>7</v>
      </c>
      <c r="AE43" s="75">
        <f t="shared" ref="AE43:AK43" si="91">AVERAGE(AE19:AE21)</f>
        <v>41.133333333333333</v>
      </c>
      <c r="AF43" s="76">
        <f t="shared" si="91"/>
        <v>37</v>
      </c>
      <c r="AG43" s="77">
        <f t="shared" si="91"/>
        <v>36</v>
      </c>
      <c r="AH43" s="75">
        <f t="shared" si="91"/>
        <v>4.1333333333333355</v>
      </c>
      <c r="AI43" s="58">
        <f t="shared" si="91"/>
        <v>0.10787967262085796</v>
      </c>
      <c r="AJ43" s="78">
        <f t="shared" si="91"/>
        <v>5.1333333333333355</v>
      </c>
      <c r="AK43" s="58">
        <f t="shared" si="91"/>
        <v>0.14544695071010869</v>
      </c>
      <c r="AL43" s="158"/>
      <c r="AM43" s="158"/>
      <c r="AN43" s="158"/>
      <c r="AO43" s="158"/>
      <c r="AP43" s="158"/>
      <c r="AQ43" s="56"/>
      <c r="AR43" s="56"/>
      <c r="AS43" s="53" t="s">
        <v>7</v>
      </c>
      <c r="AT43" s="83">
        <f t="shared" ref="AT43:AZ43" si="92">AVERAGE(AT19:AT21)</f>
        <v>325.86666666666673</v>
      </c>
      <c r="AU43" s="81">
        <f t="shared" si="92"/>
        <v>315.7</v>
      </c>
      <c r="AV43" s="83">
        <f t="shared" si="92"/>
        <v>316.56666666666666</v>
      </c>
      <c r="AW43" s="78">
        <f t="shared" si="92"/>
        <v>10.166666666666686</v>
      </c>
      <c r="AX43" s="58">
        <f t="shared" si="92"/>
        <v>2.9758101496869527E-2</v>
      </c>
      <c r="AY43" s="78">
        <f t="shared" si="92"/>
        <v>9.3000000000000025</v>
      </c>
      <c r="AZ43" s="58">
        <f t="shared" si="92"/>
        <v>2.9878757015107522E-2</v>
      </c>
    </row>
    <row r="44" spans="1:52" hidden="1" x14ac:dyDescent="0.3">
      <c r="K44" s="13" t="s">
        <v>8</v>
      </c>
      <c r="L44" s="20">
        <f>MEDIAN(L19:L21)</f>
        <v>9300000</v>
      </c>
      <c r="M44" s="21">
        <f t="shared" ref="M44:X44" si="93">MEDIAN(M19:M21)</f>
        <v>9500000</v>
      </c>
      <c r="N44" s="21"/>
      <c r="O44" s="32">
        <f t="shared" si="93"/>
        <v>7852409.6385542154</v>
      </c>
      <c r="P44" s="33">
        <f t="shared" si="93"/>
        <v>8400000</v>
      </c>
      <c r="Q44" s="33">
        <f t="shared" si="93"/>
        <v>8800000</v>
      </c>
      <c r="R44" s="38">
        <f t="shared" si="93"/>
        <v>-547590.36144578457</v>
      </c>
      <c r="S44" s="39">
        <f t="shared" si="93"/>
        <v>-6.5189328743545771E-2</v>
      </c>
      <c r="T44" s="157"/>
      <c r="U44" s="157"/>
      <c r="V44" s="46">
        <f t="shared" si="93"/>
        <v>0.84434512242518445</v>
      </c>
      <c r="W44" s="47">
        <f t="shared" si="93"/>
        <v>0.90322580645161288</v>
      </c>
      <c r="X44" s="124">
        <f t="shared" si="93"/>
        <v>0.91666666666666663</v>
      </c>
      <c r="AA44" s="157"/>
      <c r="AB44" s="157"/>
      <c r="AD44" s="13" t="s">
        <v>8</v>
      </c>
      <c r="AE44" s="61">
        <f t="shared" ref="AE44:AK44" si="94">MEDIAN(AE19:AE21)</f>
        <v>41.1</v>
      </c>
      <c r="AF44" s="62">
        <f t="shared" si="94"/>
        <v>37</v>
      </c>
      <c r="AG44" s="62">
        <f t="shared" si="94"/>
        <v>38</v>
      </c>
      <c r="AH44" s="66">
        <f t="shared" si="94"/>
        <v>4.1000000000000014</v>
      </c>
      <c r="AI44" s="67">
        <f t="shared" si="94"/>
        <v>0.11081081081081079</v>
      </c>
      <c r="AJ44" s="73">
        <f t="shared" si="94"/>
        <v>5.2000000000000028</v>
      </c>
      <c r="AK44" s="120">
        <f t="shared" si="94"/>
        <v>0.16904761904761911</v>
      </c>
      <c r="AL44" s="157"/>
      <c r="AM44" s="157"/>
      <c r="AN44" s="157"/>
      <c r="AO44" s="157"/>
      <c r="AP44" s="157"/>
      <c r="AS44" s="13" t="s">
        <v>8</v>
      </c>
      <c r="AT44" s="82">
        <f t="shared" ref="AT44:AZ44" si="95">MEDIAN(AT19:AT21)</f>
        <v>313.10000000000002</v>
      </c>
      <c r="AU44" s="80">
        <f t="shared" si="95"/>
        <v>299.7</v>
      </c>
      <c r="AV44" s="80">
        <f t="shared" si="95"/>
        <v>321.10000000000002</v>
      </c>
      <c r="AW44" s="79">
        <f t="shared" si="95"/>
        <v>13.400000000000034</v>
      </c>
      <c r="AX44" s="117">
        <f t="shared" si="95"/>
        <v>4.3410852713178238E-2</v>
      </c>
      <c r="AY44" s="73">
        <f t="shared" si="95"/>
        <v>14.299999999999983</v>
      </c>
      <c r="AZ44" s="120">
        <f t="shared" si="95"/>
        <v>5.6514913657770949E-2</v>
      </c>
    </row>
    <row r="45" spans="1:52" hidden="1" x14ac:dyDescent="0.3">
      <c r="K45" s="13" t="s">
        <v>9</v>
      </c>
      <c r="L45" s="20">
        <f>STDEV(L19:L21)</f>
        <v>115470.05383792515</v>
      </c>
      <c r="M45" s="21">
        <f t="shared" ref="M45:X45" si="96">STDEV(M19:M21)</f>
        <v>100000</v>
      </c>
      <c r="N45" s="21"/>
      <c r="O45" s="32">
        <f t="shared" si="96"/>
        <v>305591.99669422826</v>
      </c>
      <c r="P45" s="33">
        <f t="shared" si="96"/>
        <v>458257.569495584</v>
      </c>
      <c r="Q45" s="33">
        <f t="shared" si="96"/>
        <v>325320.35493238561</v>
      </c>
      <c r="R45" s="38">
        <f t="shared" si="96"/>
        <v>154314.89070074927</v>
      </c>
      <c r="S45" s="39">
        <f t="shared" si="96"/>
        <v>1.4071965883024781E-2</v>
      </c>
      <c r="T45" s="157"/>
      <c r="U45" s="157"/>
      <c r="V45" s="46">
        <f t="shared" si="96"/>
        <v>2.330035732637973E-2</v>
      </c>
      <c r="W45" s="47">
        <f t="shared" si="96"/>
        <v>3.8354089133802859E-2</v>
      </c>
      <c r="X45" s="124">
        <f t="shared" si="96"/>
        <v>3.9922988226700339E-2</v>
      </c>
      <c r="AA45" s="157"/>
      <c r="AB45" s="157"/>
      <c r="AD45" s="13" t="s">
        <v>9</v>
      </c>
      <c r="AE45" s="61">
        <f t="shared" ref="AE45:AK45" si="97">STDEV(AE19:AE21)</f>
        <v>7.9500524107287101</v>
      </c>
      <c r="AF45" s="62">
        <f t="shared" si="97"/>
        <v>6</v>
      </c>
      <c r="AG45" s="62">
        <f t="shared" si="97"/>
        <v>7.2111025509279782</v>
      </c>
      <c r="AH45" s="66">
        <f t="shared" si="97"/>
        <v>1.9502136635080085</v>
      </c>
      <c r="AI45" s="67">
        <f t="shared" si="97"/>
        <v>3.553713871872162E-2</v>
      </c>
      <c r="AJ45" s="73">
        <f t="shared" si="97"/>
        <v>2.0008331597945235</v>
      </c>
      <c r="AK45" s="120">
        <f t="shared" si="97"/>
        <v>5.5935550704223888E-2</v>
      </c>
      <c r="AL45" s="157"/>
      <c r="AM45" s="157"/>
      <c r="AN45" s="157"/>
      <c r="AO45" s="157"/>
      <c r="AP45" s="157"/>
      <c r="AS45" s="13" t="s">
        <v>9</v>
      </c>
      <c r="AT45" s="82">
        <f t="shared" ref="AT45:AZ45" si="98">STDEV(AT19:AT21)</f>
        <v>72.399194286492659</v>
      </c>
      <c r="AU45" s="80">
        <f t="shared" si="98"/>
        <v>64.798842582255929</v>
      </c>
      <c r="AV45" s="80">
        <f t="shared" si="98"/>
        <v>68.013405541358992</v>
      </c>
      <c r="AW45" s="79">
        <f t="shared" si="98"/>
        <v>8.7122519094280921</v>
      </c>
      <c r="AX45" s="117">
        <f t="shared" si="98"/>
        <v>2.4782079409666358E-2</v>
      </c>
      <c r="AY45" s="73">
        <f t="shared" si="98"/>
        <v>15.420440979427282</v>
      </c>
      <c r="AZ45" s="120">
        <f t="shared" si="98"/>
        <v>4.745832074433242E-2</v>
      </c>
    </row>
    <row r="46" spans="1:52" hidden="1" x14ac:dyDescent="0.3">
      <c r="A46" t="s">
        <v>0</v>
      </c>
      <c r="K46" s="13" t="s">
        <v>11</v>
      </c>
      <c r="L46" s="20">
        <f>MIN(L19:L21)</f>
        <v>9300000</v>
      </c>
      <c r="M46" s="21">
        <f t="shared" ref="M46:X46" si="99">MIN(M19:M21)</f>
        <v>9400000</v>
      </c>
      <c r="N46" s="21"/>
      <c r="O46" s="32">
        <f t="shared" si="99"/>
        <v>7618004.8661800483</v>
      </c>
      <c r="P46" s="33">
        <f t="shared" si="99"/>
        <v>8100000</v>
      </c>
      <c r="Q46" s="33">
        <f t="shared" si="99"/>
        <v>8450000</v>
      </c>
      <c r="R46" s="38">
        <f t="shared" si="99"/>
        <v>-775967.41344195604</v>
      </c>
      <c r="S46" s="39">
        <f t="shared" si="99"/>
        <v>-8.6218601493550651E-2</v>
      </c>
      <c r="T46" s="157"/>
      <c r="U46" s="157"/>
      <c r="V46" s="46">
        <f t="shared" si="99"/>
        <v>0.81914030819140304</v>
      </c>
      <c r="W46" s="47">
        <f t="shared" si="99"/>
        <v>0.87096774193548387</v>
      </c>
      <c r="X46" s="124">
        <f t="shared" si="99"/>
        <v>0.88947368421052631</v>
      </c>
      <c r="AA46" s="157"/>
      <c r="AB46" s="157"/>
      <c r="AD46" s="13" t="s">
        <v>11</v>
      </c>
      <c r="AE46" s="61">
        <f t="shared" ref="AE46:AK46" si="100">MIN(AE19:AE21)</f>
        <v>33.200000000000003</v>
      </c>
      <c r="AF46" s="62">
        <f t="shared" si="100"/>
        <v>31</v>
      </c>
      <c r="AG46" s="62">
        <f t="shared" si="100"/>
        <v>28</v>
      </c>
      <c r="AH46" s="66">
        <f t="shared" si="100"/>
        <v>2.2000000000000028</v>
      </c>
      <c r="AI46" s="67">
        <f t="shared" si="100"/>
        <v>7.0967741935483941E-2</v>
      </c>
      <c r="AJ46" s="71">
        <f t="shared" si="100"/>
        <v>3.1000000000000014</v>
      </c>
      <c r="AK46" s="120">
        <f t="shared" si="100"/>
        <v>8.1578947368421195E-2</v>
      </c>
      <c r="AL46" s="157"/>
      <c r="AM46" s="157"/>
      <c r="AN46" s="157"/>
      <c r="AO46" s="157"/>
      <c r="AP46" s="157"/>
      <c r="AS46" s="13" t="s">
        <v>11</v>
      </c>
      <c r="AT46" s="61">
        <f t="shared" ref="AT46:AZ46" si="101">MIN(AT19:AT21)</f>
        <v>260.7</v>
      </c>
      <c r="AU46" s="80">
        <f t="shared" si="101"/>
        <v>260.39999999999998</v>
      </c>
      <c r="AV46" s="62">
        <f t="shared" si="101"/>
        <v>246.4</v>
      </c>
      <c r="AW46" s="66">
        <f t="shared" si="101"/>
        <v>0.30000000000001137</v>
      </c>
      <c r="AX46" s="117">
        <f t="shared" si="101"/>
        <v>1.1520737327188613E-3</v>
      </c>
      <c r="AY46" s="71">
        <f t="shared" si="101"/>
        <v>-8</v>
      </c>
      <c r="AZ46" s="120">
        <f t="shared" si="101"/>
        <v>-2.4914356898162571E-2</v>
      </c>
    </row>
    <row r="47" spans="1:52" hidden="1" x14ac:dyDescent="0.3">
      <c r="K47" s="13" t="s">
        <v>12</v>
      </c>
      <c r="L47" s="20">
        <f>MAX(L19:L21)</f>
        <v>9500000</v>
      </c>
      <c r="M47" s="21">
        <f t="shared" ref="M47:X47" si="102">MAX(M19:M21)</f>
        <v>9600000</v>
      </c>
      <c r="N47" s="21"/>
      <c r="O47" s="32">
        <f t="shared" si="102"/>
        <v>8224032.586558044</v>
      </c>
      <c r="P47" s="33">
        <f t="shared" si="102"/>
        <v>9000000</v>
      </c>
      <c r="Q47" s="33">
        <f t="shared" si="102"/>
        <v>9100000</v>
      </c>
      <c r="R47" s="38">
        <f t="shared" si="102"/>
        <v>-481995.13381995168</v>
      </c>
      <c r="S47" s="39">
        <f t="shared" si="102"/>
        <v>-5.9505572076537283E-2</v>
      </c>
      <c r="T47" s="157"/>
      <c r="U47" s="157"/>
      <c r="V47" s="46">
        <f t="shared" si="102"/>
        <v>0.86568764069032045</v>
      </c>
      <c r="W47" s="47">
        <f t="shared" si="102"/>
        <v>0.94736842105263153</v>
      </c>
      <c r="X47" s="124">
        <f t="shared" si="102"/>
        <v>0.96808510638297873</v>
      </c>
      <c r="AA47" s="157"/>
      <c r="AB47" s="157"/>
      <c r="AD47" s="13" t="s">
        <v>12</v>
      </c>
      <c r="AE47" s="61">
        <f t="shared" ref="AE47:AK47" si="103">MAX(AE19:AE21)</f>
        <v>49.1</v>
      </c>
      <c r="AF47" s="62">
        <f t="shared" si="103"/>
        <v>43</v>
      </c>
      <c r="AG47" s="62">
        <f t="shared" si="103"/>
        <v>42</v>
      </c>
      <c r="AH47" s="66">
        <f t="shared" si="103"/>
        <v>6.1000000000000014</v>
      </c>
      <c r="AI47" s="67">
        <f t="shared" si="103"/>
        <v>0.14186046511627914</v>
      </c>
      <c r="AJ47" s="71">
        <f t="shared" si="103"/>
        <v>7.1000000000000014</v>
      </c>
      <c r="AK47" s="120">
        <f t="shared" si="103"/>
        <v>0.18571428571428572</v>
      </c>
      <c r="AL47" s="157"/>
      <c r="AM47" s="157"/>
      <c r="AN47" s="157"/>
      <c r="AO47" s="157"/>
      <c r="AP47" s="157"/>
      <c r="AS47" s="13" t="s">
        <v>12</v>
      </c>
      <c r="AT47" s="61">
        <f t="shared" ref="AT47:AZ47" si="104">MAX(AT19:AT21)</f>
        <v>403.8</v>
      </c>
      <c r="AU47" s="80">
        <f t="shared" si="104"/>
        <v>387</v>
      </c>
      <c r="AV47" s="62">
        <f t="shared" si="104"/>
        <v>382.2</v>
      </c>
      <c r="AW47" s="66">
        <f t="shared" si="104"/>
        <v>16.800000000000011</v>
      </c>
      <c r="AX47" s="117">
        <f t="shared" si="104"/>
        <v>4.4711378044711481E-2</v>
      </c>
      <c r="AY47" s="71">
        <f t="shared" si="104"/>
        <v>21.600000000000023</v>
      </c>
      <c r="AZ47" s="120">
        <f t="shared" si="104"/>
        <v>5.8035714285714191E-2</v>
      </c>
    </row>
    <row r="48" spans="1:52" ht="15" hidden="1" thickBot="1" x14ac:dyDescent="0.35">
      <c r="K48" s="14" t="s">
        <v>13</v>
      </c>
      <c r="L48" s="22">
        <f>SKEW(L19:L21)</f>
        <v>1.7320508075689258</v>
      </c>
      <c r="M48" s="23">
        <f t="shared" ref="M48:X48" si="105">SKEW(M19:M21)</f>
        <v>0</v>
      </c>
      <c r="N48" s="23"/>
      <c r="O48" s="34">
        <f t="shared" si="105"/>
        <v>0.65844726564672174</v>
      </c>
      <c r="P48" s="35">
        <f t="shared" si="105"/>
        <v>0.93521952958282406</v>
      </c>
      <c r="Q48" s="35">
        <f t="shared" si="105"/>
        <v>-0.22993688674000107</v>
      </c>
      <c r="R48" s="42">
        <f t="shared" si="105"/>
        <v>-1.3866684582948676</v>
      </c>
      <c r="S48" s="43">
        <f t="shared" si="105"/>
        <v>-1.4196170711788012</v>
      </c>
      <c r="T48" s="161"/>
      <c r="U48" s="161"/>
      <c r="V48" s="50">
        <f t="shared" si="105"/>
        <v>-0.24788275240224494</v>
      </c>
      <c r="W48" s="51">
        <f t="shared" si="105"/>
        <v>0.4598373126271772</v>
      </c>
      <c r="X48" s="125">
        <f t="shared" si="105"/>
        <v>0.87296827237242414</v>
      </c>
      <c r="AA48" s="161"/>
      <c r="AB48" s="161"/>
      <c r="AD48" s="14" t="s">
        <v>13</v>
      </c>
      <c r="AE48" s="64">
        <f t="shared" ref="AE48:AK48" si="106">SKEW(AE19:AE21)</f>
        <v>1.8867468446608471E-2</v>
      </c>
      <c r="AF48" s="65">
        <f t="shared" si="106"/>
        <v>0</v>
      </c>
      <c r="AG48" s="65">
        <f t="shared" si="106"/>
        <v>-1.1520696383139373</v>
      </c>
      <c r="AH48" s="68">
        <f t="shared" si="106"/>
        <v>7.6892179352694767E-2</v>
      </c>
      <c r="AI48" s="69">
        <f t="shared" si="106"/>
        <v>-0.36863935702506734</v>
      </c>
      <c r="AJ48" s="74">
        <f t="shared" si="106"/>
        <v>-0.14977108048526033</v>
      </c>
      <c r="AK48" s="122">
        <f t="shared" si="106"/>
        <v>-1.5606635525557027</v>
      </c>
      <c r="AL48" s="159"/>
      <c r="AM48" s="159"/>
      <c r="AN48" s="159"/>
      <c r="AO48" s="159"/>
      <c r="AP48" s="159"/>
      <c r="AS48" s="14" t="s">
        <v>13</v>
      </c>
      <c r="AT48" s="64">
        <f t="shared" ref="AT48:AZ48" si="107">SKEW(AT19:AT21)</f>
        <v>0.76884287307948551</v>
      </c>
      <c r="AU48" s="129">
        <f t="shared" si="107"/>
        <v>1.0433869762759984</v>
      </c>
      <c r="AV48" s="65">
        <f t="shared" si="107"/>
        <v>-0.29860832447987401</v>
      </c>
      <c r="AW48" s="68">
        <f t="shared" si="107"/>
        <v>-1.4400381525064172</v>
      </c>
      <c r="AX48" s="118">
        <f t="shared" si="107"/>
        <v>-1.7266860430077644</v>
      </c>
      <c r="AY48" s="74">
        <f t="shared" si="107"/>
        <v>-1.3056998443852628</v>
      </c>
      <c r="AZ48" s="122">
        <f t="shared" si="107"/>
        <v>-1.7300500866107575</v>
      </c>
    </row>
    <row r="49" spans="11:52" hidden="1" x14ac:dyDescent="0.3"/>
    <row r="50" spans="11:52" s="1" customFormat="1" ht="18" x14ac:dyDescent="0.35">
      <c r="K50" s="160" t="s">
        <v>74</v>
      </c>
      <c r="T50" s="162"/>
      <c r="U50" s="162"/>
      <c r="AA50" s="162"/>
      <c r="AB50" s="162"/>
      <c r="AC50" s="134"/>
      <c r="AD50" s="160" t="s">
        <v>83</v>
      </c>
      <c r="AQ50" s="134"/>
      <c r="AR50" s="134"/>
      <c r="AS50" s="163" t="s">
        <v>74</v>
      </c>
      <c r="AT50" s="134"/>
      <c r="AU50" s="164"/>
      <c r="AV50" s="134"/>
      <c r="AW50" s="134"/>
      <c r="AX50" s="134"/>
      <c r="AY50" s="134"/>
      <c r="AZ50" s="134"/>
    </row>
    <row r="51" spans="11:52" ht="15.6" x14ac:dyDescent="0.3">
      <c r="K51" s="132"/>
      <c r="AD51" s="132"/>
      <c r="AS51" s="132"/>
    </row>
    <row r="52" spans="11:52" ht="15.6" x14ac:dyDescent="0.3">
      <c r="K52" s="133" t="s">
        <v>105</v>
      </c>
      <c r="P52" s="133" t="s">
        <v>107</v>
      </c>
      <c r="AD52" s="133" t="s">
        <v>123</v>
      </c>
      <c r="AH52" s="133" t="s">
        <v>124</v>
      </c>
      <c r="AS52" s="133" t="s">
        <v>125</v>
      </c>
      <c r="AW52" s="133" t="s">
        <v>126</v>
      </c>
    </row>
    <row r="53" spans="11:52" x14ac:dyDescent="0.3">
      <c r="K53" t="s">
        <v>24</v>
      </c>
      <c r="L53" s="4">
        <f>L55+(1.96*U29*L55)</f>
        <v>7317696.7607149472</v>
      </c>
      <c r="M53" s="242">
        <f t="shared" ref="M53:M55" si="108">L53-L$55</f>
        <v>918543.88270204235</v>
      </c>
      <c r="P53" t="s">
        <v>24</v>
      </c>
      <c r="Q53" s="4">
        <f>Q55+(1.96*U37*Q55)</f>
        <v>7106019.7494715899</v>
      </c>
      <c r="R53" s="242">
        <f t="shared" ref="R53:R55" si="109">Q53-Q$55</f>
        <v>422492.00077558123</v>
      </c>
      <c r="AD53" t="s">
        <v>24</v>
      </c>
      <c r="AE53" s="238">
        <f>AE55+(1.96*AK29*AE55)</f>
        <v>56.976623203382921</v>
      </c>
      <c r="AF53" s="240">
        <f t="shared" ref="AF53:AF55" si="110">AE53-AE$55</f>
        <v>11.847211438677036</v>
      </c>
      <c r="AH53" t="s">
        <v>24</v>
      </c>
      <c r="AI53" s="126">
        <f>AI55+(1.96*AK37*AI55)</f>
        <v>55.741447210897618</v>
      </c>
      <c r="AJ53" s="240">
        <f t="shared" ref="AJ53:AJ55" si="111">AI53-AI$55</f>
        <v>11.02478054423095</v>
      </c>
      <c r="AS53" t="s">
        <v>24</v>
      </c>
      <c r="AT53" s="126">
        <f>AT55+(1.96*AZ29*AT55)</f>
        <v>368.67948904224943</v>
      </c>
      <c r="AU53" s="240">
        <f t="shared" ref="AU53:AU55" si="112">AT53-AT$55</f>
        <v>84.022430218720046</v>
      </c>
      <c r="AW53" t="s">
        <v>24</v>
      </c>
      <c r="AX53" s="126">
        <f>AX55+(1.96*AZ37*AX55)</f>
        <v>355.9526304977831</v>
      </c>
      <c r="AY53" s="240">
        <f t="shared" ref="AY53:AY55" si="113">AX53-AX$55</f>
        <v>55.577630497783105</v>
      </c>
    </row>
    <row r="54" spans="11:52" ht="15" thickBot="1" x14ac:dyDescent="0.35">
      <c r="K54" t="s">
        <v>25</v>
      </c>
      <c r="L54" s="4">
        <f>L55+(1*U29*L55)</f>
        <v>6867797.7161261914</v>
      </c>
      <c r="M54" s="242">
        <f t="shared" si="108"/>
        <v>468644.83811328653</v>
      </c>
      <c r="P54" t="s">
        <v>25</v>
      </c>
      <c r="Q54" s="4">
        <f>Q55+(1*U37*Q55)</f>
        <v>6899084.8919488564</v>
      </c>
      <c r="R54" s="242">
        <f t="shared" si="109"/>
        <v>215557.14325284772</v>
      </c>
      <c r="AD54" t="s">
        <v>25</v>
      </c>
      <c r="AE54" s="238">
        <f>AE55+(1*AK29*AE55)</f>
        <v>51.173907396683965</v>
      </c>
      <c r="AF54" s="240">
        <f t="shared" si="110"/>
        <v>6.04449563197808</v>
      </c>
      <c r="AH54" t="s">
        <v>25</v>
      </c>
      <c r="AI54" s="126">
        <f>AI55+(1*AK37*AI55)</f>
        <v>50.341554699437566</v>
      </c>
      <c r="AJ54" s="240">
        <f t="shared" si="111"/>
        <v>5.6248880327708974</v>
      </c>
      <c r="AS54" t="s">
        <v>25</v>
      </c>
      <c r="AT54" s="126">
        <f>AT55+(1*AZ29*AT55)</f>
        <v>327.52564566981511</v>
      </c>
      <c r="AU54" s="240">
        <f t="shared" si="112"/>
        <v>42.868586846285723</v>
      </c>
      <c r="AW54" t="s">
        <v>25</v>
      </c>
      <c r="AX54" s="126">
        <f>AX55+(1*AZ37*AX55)</f>
        <v>328.73093392744039</v>
      </c>
      <c r="AY54" s="240">
        <f t="shared" si="113"/>
        <v>28.35593392744039</v>
      </c>
    </row>
    <row r="55" spans="11:52" ht="15" thickBot="1" x14ac:dyDescent="0.35">
      <c r="K55" s="87" t="s">
        <v>106</v>
      </c>
      <c r="L55" s="135">
        <f>O24-T27</f>
        <v>6399152.8780129049</v>
      </c>
      <c r="M55" s="242">
        <f t="shared" si="108"/>
        <v>0</v>
      </c>
      <c r="P55" s="87" t="s">
        <v>106</v>
      </c>
      <c r="Q55" s="135">
        <f>O24-R35</f>
        <v>6683527.7486960087</v>
      </c>
      <c r="R55" s="242">
        <f t="shared" si="109"/>
        <v>0</v>
      </c>
      <c r="AD55" s="87" t="s">
        <v>106</v>
      </c>
      <c r="AE55" s="239">
        <f>AE24-AJ27</f>
        <v>45.129411764705885</v>
      </c>
      <c r="AF55" s="240">
        <f t="shared" si="110"/>
        <v>0</v>
      </c>
      <c r="AH55" s="87" t="s">
        <v>106</v>
      </c>
      <c r="AI55" s="83">
        <f>AE24-AJ35</f>
        <v>44.716666666666669</v>
      </c>
      <c r="AJ55" s="240">
        <f t="shared" si="111"/>
        <v>0</v>
      </c>
      <c r="AS55" s="87" t="s">
        <v>106</v>
      </c>
      <c r="AT55" s="83">
        <f>AT24-AY27</f>
        <v>284.65705882352938</v>
      </c>
      <c r="AU55" s="240">
        <f t="shared" si="112"/>
        <v>0</v>
      </c>
      <c r="AW55" s="87" t="s">
        <v>106</v>
      </c>
      <c r="AX55" s="83">
        <f>AT24-AY35</f>
        <v>300.375</v>
      </c>
      <c r="AY55" s="240">
        <f t="shared" si="113"/>
        <v>0</v>
      </c>
    </row>
    <row r="56" spans="11:52" x14ac:dyDescent="0.3">
      <c r="K56" t="s">
        <v>26</v>
      </c>
      <c r="L56" s="4">
        <f>L55-(1*U29*L55)</f>
        <v>5930508.0398996184</v>
      </c>
      <c r="M56" s="242">
        <f>L56-L$55</f>
        <v>-468644.83811328653</v>
      </c>
      <c r="P56" t="s">
        <v>26</v>
      </c>
      <c r="Q56" s="4">
        <f>Q55-(1*U37*Q55)</f>
        <v>6467970.605443161</v>
      </c>
      <c r="R56" s="242">
        <f>Q56-Q$55</f>
        <v>-215557.14325284772</v>
      </c>
      <c r="AD56" t="s">
        <v>26</v>
      </c>
      <c r="AE56" s="238">
        <f>AE55-(1*AK29*AE55)</f>
        <v>39.084916132727805</v>
      </c>
      <c r="AF56" s="240">
        <f>AE56-AE$55</f>
        <v>-6.04449563197808</v>
      </c>
      <c r="AH56" t="s">
        <v>26</v>
      </c>
      <c r="AI56" s="126">
        <f>AI55-(1*AK37*AI55)</f>
        <v>39.091778633895771</v>
      </c>
      <c r="AJ56" s="240">
        <f>AI56-AI$55</f>
        <v>-5.6248880327708974</v>
      </c>
      <c r="AS56" t="s">
        <v>26</v>
      </c>
      <c r="AT56" s="126">
        <f>AT55-(1*AZ29*AT55)</f>
        <v>241.78847197724363</v>
      </c>
      <c r="AU56" s="240">
        <f>AT56-AT$55</f>
        <v>-42.868586846285751</v>
      </c>
      <c r="AW56" t="s">
        <v>26</v>
      </c>
      <c r="AX56" s="126">
        <f>AX55-(1*AZ37*AX55)</f>
        <v>272.01906607255961</v>
      </c>
      <c r="AY56" s="240">
        <f>AX56-AX$55</f>
        <v>-28.35593392744039</v>
      </c>
    </row>
    <row r="57" spans="11:52" x14ac:dyDescent="0.3">
      <c r="K57" t="s">
        <v>27</v>
      </c>
      <c r="L57" s="4">
        <f>L55-(1.96*U29*L55)</f>
        <v>5480608.9953108625</v>
      </c>
      <c r="M57" s="242">
        <f>L57-L$55</f>
        <v>-918543.88270204235</v>
      </c>
      <c r="P57" t="s">
        <v>27</v>
      </c>
      <c r="Q57" s="4">
        <f>Q55-(1.96*U37*Q55)</f>
        <v>6261035.7479204275</v>
      </c>
      <c r="R57" s="242">
        <f>Q57-Q$55</f>
        <v>-422492.00077558123</v>
      </c>
      <c r="AD57" t="s">
        <v>27</v>
      </c>
      <c r="AE57" s="238">
        <f>AE55-(1.96*AK29*AE55)</f>
        <v>33.28220032602885</v>
      </c>
      <c r="AF57" s="240">
        <f>AE57-AE$55</f>
        <v>-11.847211438677036</v>
      </c>
      <c r="AH57" t="s">
        <v>27</v>
      </c>
      <c r="AI57" s="126">
        <f>AI55-(1.96*AK37*AI55)</f>
        <v>33.691886122435719</v>
      </c>
      <c r="AJ57" s="240">
        <f>AI57-AI$55</f>
        <v>-11.02478054423095</v>
      </c>
      <c r="AS57" t="s">
        <v>27</v>
      </c>
      <c r="AT57" s="126">
        <f>AT55-(1.96*AZ29*AT55)</f>
        <v>200.63462860480934</v>
      </c>
      <c r="AU57" s="240">
        <f>AT57-AT$55</f>
        <v>-84.022430218720046</v>
      </c>
      <c r="AW57" t="s">
        <v>27</v>
      </c>
      <c r="AX57" s="126">
        <f>AX55-(1.96*AZ37*AX55)</f>
        <v>244.79736950221687</v>
      </c>
      <c r="AY57" s="240">
        <f>AX57-AX$55</f>
        <v>-55.577630497783133</v>
      </c>
    </row>
    <row r="59" spans="11:52" ht="43.2" x14ac:dyDescent="0.3">
      <c r="K59" s="136" t="s">
        <v>0</v>
      </c>
      <c r="L59" s="137" t="s">
        <v>30</v>
      </c>
      <c r="M59" s="137" t="s">
        <v>35</v>
      </c>
      <c r="N59" s="137"/>
      <c r="O59" s="138" t="s">
        <v>28</v>
      </c>
      <c r="AD59" s="136" t="s">
        <v>0</v>
      </c>
      <c r="AE59" s="137" t="s">
        <v>29</v>
      </c>
      <c r="AF59" s="137" t="s">
        <v>38</v>
      </c>
      <c r="AG59" s="138" t="s">
        <v>28</v>
      </c>
      <c r="AS59" s="136" t="s">
        <v>0</v>
      </c>
      <c r="AT59" s="137" t="s">
        <v>31</v>
      </c>
      <c r="AU59" s="137" t="s">
        <v>91</v>
      </c>
      <c r="AV59" s="138" t="s">
        <v>28</v>
      </c>
    </row>
    <row r="60" spans="11:52" x14ac:dyDescent="0.3">
      <c r="K60" s="139">
        <v>2000</v>
      </c>
      <c r="L60" s="140">
        <f t="shared" ref="L60:L77" si="114">O7/1000000</f>
        <v>9.2367149758454108</v>
      </c>
      <c r="M60" s="140">
        <f t="shared" ref="M60:M76" si="115">Q7/1000000</f>
        <v>9.4</v>
      </c>
      <c r="N60" s="140"/>
      <c r="O60" s="141">
        <f t="shared" ref="O60:O76" si="116">S7</f>
        <v>3.9907582440663614E-3</v>
      </c>
      <c r="AD60" s="139">
        <v>2000</v>
      </c>
      <c r="AE60" s="140">
        <f t="shared" ref="AE60:AE77" si="117">AE7</f>
        <v>41.4</v>
      </c>
      <c r="AF60" s="140">
        <f t="shared" ref="AF60:AF74" si="118">AG7</f>
        <v>37</v>
      </c>
      <c r="AG60" s="141">
        <f t="shared" ref="AG60:AG74" si="119">AI7</f>
        <v>-5.9090909090909083E-2</v>
      </c>
      <c r="AS60" s="139">
        <v>2000</v>
      </c>
      <c r="AT60" s="140">
        <f t="shared" ref="AT60:AT76" si="120">AT7</f>
        <v>382.4</v>
      </c>
      <c r="AU60" s="140">
        <f t="shared" ref="AU60:AU74" si="121">AV7</f>
        <v>347.8</v>
      </c>
      <c r="AV60" s="141">
        <f t="shared" ref="AV60:AV74" si="122">AX7</f>
        <v>-5.5335968379446765E-2</v>
      </c>
    </row>
    <row r="61" spans="11:52" x14ac:dyDescent="0.3">
      <c r="K61" s="139">
        <v>2001</v>
      </c>
      <c r="L61" s="140">
        <f t="shared" si="114"/>
        <v>8.4892966360856263</v>
      </c>
      <c r="M61" s="140">
        <f t="shared" si="115"/>
        <v>8.1999999999999993</v>
      </c>
      <c r="N61" s="140"/>
      <c r="O61" s="141">
        <f t="shared" si="116"/>
        <v>1.0630551914955433E-2</v>
      </c>
      <c r="AD61" s="139">
        <v>2001</v>
      </c>
      <c r="AE61" s="140">
        <f t="shared" si="117"/>
        <v>32.700000000000003</v>
      </c>
      <c r="AF61" s="140">
        <f t="shared" si="118"/>
        <v>40</v>
      </c>
      <c r="AG61" s="141">
        <f t="shared" si="119"/>
        <v>-3.8235294117646923E-2</v>
      </c>
      <c r="AS61" s="139">
        <v>2001</v>
      </c>
      <c r="AT61" s="140">
        <f t="shared" si="120"/>
        <v>277.60000000000002</v>
      </c>
      <c r="AU61" s="140">
        <f t="shared" si="121"/>
        <v>328</v>
      </c>
      <c r="AV61" s="141">
        <f t="shared" si="122"/>
        <v>-2.8011204481792729E-2</v>
      </c>
    </row>
    <row r="62" spans="11:52" x14ac:dyDescent="0.3">
      <c r="K62" s="139">
        <v>2002</v>
      </c>
      <c r="L62" s="140">
        <f t="shared" si="114"/>
        <v>8.3426966292134832</v>
      </c>
      <c r="M62" s="140">
        <f t="shared" si="115"/>
        <v>8.1999999999999993</v>
      </c>
      <c r="N62" s="140"/>
      <c r="O62" s="141">
        <f t="shared" si="116"/>
        <v>4.2837078651685401E-2</v>
      </c>
      <c r="AD62" s="139">
        <v>2002</v>
      </c>
      <c r="AE62" s="140">
        <f t="shared" si="117"/>
        <v>35.6</v>
      </c>
      <c r="AF62" s="140">
        <f t="shared" si="118"/>
        <v>33</v>
      </c>
      <c r="AG62" s="141">
        <f t="shared" si="119"/>
        <v>-3.7837837837837784E-2</v>
      </c>
      <c r="AS62" s="139">
        <v>2002</v>
      </c>
      <c r="AT62" s="140">
        <f t="shared" si="120"/>
        <v>297</v>
      </c>
      <c r="AU62" s="140">
        <f t="shared" si="121"/>
        <v>270.60000000000002</v>
      </c>
      <c r="AV62" s="141">
        <f t="shared" si="122"/>
        <v>3.3783783783782884E-3</v>
      </c>
    </row>
    <row r="63" spans="11:52" x14ac:dyDescent="0.3">
      <c r="K63" s="139">
        <v>2003</v>
      </c>
      <c r="L63" s="140">
        <f t="shared" si="114"/>
        <v>9.3814432989690726</v>
      </c>
      <c r="M63" s="140">
        <f t="shared" si="115"/>
        <v>10</v>
      </c>
      <c r="N63" s="140"/>
      <c r="O63" s="141">
        <f t="shared" si="116"/>
        <v>-3.2840897013497572E-2</v>
      </c>
      <c r="AD63" s="139">
        <v>2003</v>
      </c>
      <c r="AE63" s="140">
        <f t="shared" si="117"/>
        <v>38.799999999999997</v>
      </c>
      <c r="AF63" s="140">
        <f t="shared" si="118"/>
        <v>48</v>
      </c>
      <c r="AG63" s="141">
        <f t="shared" si="119"/>
        <v>-3.0000000000000027E-2</v>
      </c>
      <c r="AS63" s="139">
        <v>2003</v>
      </c>
      <c r="AT63" s="140">
        <f t="shared" si="120"/>
        <v>364</v>
      </c>
      <c r="AU63" s="140">
        <f t="shared" si="121"/>
        <v>480</v>
      </c>
      <c r="AV63" s="141">
        <f t="shared" si="122"/>
        <v>-6.1855670103092786E-2</v>
      </c>
    </row>
    <row r="64" spans="11:52" x14ac:dyDescent="0.3">
      <c r="K64" s="139">
        <v>2004</v>
      </c>
      <c r="L64" s="140">
        <f t="shared" si="114"/>
        <v>9.4919786096256686</v>
      </c>
      <c r="M64" s="140">
        <f t="shared" si="115"/>
        <v>8.5</v>
      </c>
      <c r="N64" s="140"/>
      <c r="O64" s="141">
        <f t="shared" si="116"/>
        <v>5.4664289958407775E-2</v>
      </c>
      <c r="AD64" s="139">
        <v>2004</v>
      </c>
      <c r="AE64" s="140">
        <f t="shared" si="117"/>
        <v>37.4</v>
      </c>
      <c r="AF64" s="140">
        <f t="shared" si="118"/>
        <v>37</v>
      </c>
      <c r="AG64" s="141">
        <f t="shared" si="119"/>
        <v>-8.7804878048780566E-2</v>
      </c>
      <c r="AS64" s="139">
        <v>2004</v>
      </c>
      <c r="AT64" s="140">
        <f t="shared" si="120"/>
        <v>355</v>
      </c>
      <c r="AU64" s="140">
        <f t="shared" si="121"/>
        <v>314.5</v>
      </c>
      <c r="AV64" s="141">
        <f t="shared" si="122"/>
        <v>-3.7940379403794022E-2</v>
      </c>
    </row>
    <row r="65" spans="11:48" x14ac:dyDescent="0.3">
      <c r="K65" s="139">
        <v>2005</v>
      </c>
      <c r="L65" s="140">
        <f t="shared" si="114"/>
        <v>9.0857142857142854</v>
      </c>
      <c r="M65" s="140">
        <f t="shared" si="115"/>
        <v>9.5</v>
      </c>
      <c r="N65" s="140"/>
      <c r="O65" s="141">
        <f t="shared" si="116"/>
        <v>-5.3571428571428603E-2</v>
      </c>
      <c r="AD65" s="139">
        <v>2005</v>
      </c>
      <c r="AE65" s="140">
        <f t="shared" si="117"/>
        <v>46.2</v>
      </c>
      <c r="AF65" s="140">
        <f t="shared" si="118"/>
        <v>40</v>
      </c>
      <c r="AG65" s="141">
        <f t="shared" si="119"/>
        <v>5.0000000000000044E-2</v>
      </c>
      <c r="AS65" s="139">
        <v>2005</v>
      </c>
      <c r="AT65" s="140">
        <f t="shared" si="120"/>
        <v>419.76</v>
      </c>
      <c r="AU65" s="140">
        <f t="shared" si="121"/>
        <v>380</v>
      </c>
      <c r="AV65" s="141">
        <f t="shared" si="122"/>
        <v>-6.2499999999999778E-3</v>
      </c>
    </row>
    <row r="66" spans="11:48" x14ac:dyDescent="0.3">
      <c r="K66" s="139">
        <v>2006</v>
      </c>
      <c r="L66" s="140">
        <f t="shared" si="114"/>
        <v>8.558176943699733</v>
      </c>
      <c r="M66" s="140">
        <f t="shared" si="115"/>
        <v>9.1</v>
      </c>
      <c r="N66" s="140"/>
      <c r="O66" s="141">
        <f t="shared" si="116"/>
        <v>-8.9555644287262481E-2</v>
      </c>
      <c r="AD66" s="139">
        <v>2006</v>
      </c>
      <c r="AE66" s="140">
        <f t="shared" si="117"/>
        <v>37.299999999999997</v>
      </c>
      <c r="AF66" s="140">
        <f t="shared" si="118"/>
        <v>32</v>
      </c>
      <c r="AG66" s="141">
        <f t="shared" si="119"/>
        <v>9.7058823529411642E-2</v>
      </c>
      <c r="AS66" s="139">
        <v>2006</v>
      </c>
      <c r="AT66" s="140">
        <f t="shared" si="120"/>
        <v>319.22000000000003</v>
      </c>
      <c r="AU66" s="140">
        <f t="shared" si="121"/>
        <v>291.2</v>
      </c>
      <c r="AV66" s="141">
        <f t="shared" si="122"/>
        <v>-1.1889862327909562E-3</v>
      </c>
    </row>
    <row r="67" spans="11:48" x14ac:dyDescent="0.3">
      <c r="K67" s="139">
        <v>2007</v>
      </c>
      <c r="L67" s="140">
        <f t="shared" si="114"/>
        <v>9.5780487804878049</v>
      </c>
      <c r="M67" s="140">
        <f t="shared" si="115"/>
        <v>8.6</v>
      </c>
      <c r="N67" s="140"/>
      <c r="O67" s="141">
        <f t="shared" si="116"/>
        <v>8.2156611039796434E-3</v>
      </c>
      <c r="AD67" s="139">
        <v>2007</v>
      </c>
      <c r="AE67" s="140">
        <f t="shared" si="117"/>
        <v>41</v>
      </c>
      <c r="AF67" s="140">
        <f t="shared" si="118"/>
        <v>33</v>
      </c>
      <c r="AG67" s="141">
        <f t="shared" si="119"/>
        <v>7.8947368421052655E-2</v>
      </c>
      <c r="AS67" s="139">
        <v>2007</v>
      </c>
      <c r="AT67" s="140">
        <f t="shared" si="120"/>
        <v>392.7</v>
      </c>
      <c r="AU67" s="140">
        <f t="shared" si="121"/>
        <v>283.8</v>
      </c>
      <c r="AV67" s="141">
        <f t="shared" si="122"/>
        <v>8.7811634349030498E-2</v>
      </c>
    </row>
    <row r="68" spans="11:48" x14ac:dyDescent="0.3">
      <c r="K68" s="139">
        <v>2008</v>
      </c>
      <c r="L68" s="140">
        <f t="shared" si="114"/>
        <v>8.7551963048498855</v>
      </c>
      <c r="M68" s="140">
        <f t="shared" si="115"/>
        <v>9</v>
      </c>
      <c r="N68" s="140"/>
      <c r="O68" s="141">
        <f t="shared" si="116"/>
        <v>-6.859613778192708E-2</v>
      </c>
      <c r="AD68" s="139">
        <v>2008</v>
      </c>
      <c r="AE68" s="140">
        <f t="shared" si="117"/>
        <v>43.3</v>
      </c>
      <c r="AF68" s="140">
        <f t="shared" si="118"/>
        <v>40</v>
      </c>
      <c r="AG68" s="141">
        <f t="shared" si="119"/>
        <v>0.13947368421052619</v>
      </c>
      <c r="AS68" s="139">
        <v>2008</v>
      </c>
      <c r="AT68" s="140">
        <f t="shared" si="120"/>
        <v>379.1</v>
      </c>
      <c r="AU68" s="140">
        <f t="shared" si="121"/>
        <v>360</v>
      </c>
      <c r="AV68" s="141">
        <f t="shared" si="122"/>
        <v>6.1310190369540996E-2</v>
      </c>
    </row>
    <row r="69" spans="11:48" x14ac:dyDescent="0.3">
      <c r="K69" s="139">
        <v>2009</v>
      </c>
      <c r="L69" s="140">
        <f t="shared" si="114"/>
        <v>8.1691176470588243</v>
      </c>
      <c r="M69" s="140">
        <f t="shared" si="115"/>
        <v>8.9499999999999993</v>
      </c>
      <c r="N69" s="140"/>
      <c r="O69" s="141">
        <f t="shared" si="116"/>
        <v>-3.8927335640138394E-2</v>
      </c>
      <c r="AD69" s="139">
        <v>2009</v>
      </c>
      <c r="AE69" s="140">
        <f t="shared" si="117"/>
        <v>40.799999999999997</v>
      </c>
      <c r="AF69" s="140">
        <f t="shared" si="118"/>
        <v>42</v>
      </c>
      <c r="AG69" s="141">
        <f t="shared" si="119"/>
        <v>2.0000000000000018E-2</v>
      </c>
      <c r="AS69" s="139">
        <v>2009</v>
      </c>
      <c r="AT69" s="140">
        <f t="shared" si="120"/>
        <v>333.3</v>
      </c>
      <c r="AU69" s="140">
        <f t="shared" si="121"/>
        <v>375.9</v>
      </c>
      <c r="AV69" s="141">
        <f t="shared" si="122"/>
        <v>-1.9705882352941129E-2</v>
      </c>
    </row>
    <row r="70" spans="11:48" x14ac:dyDescent="0.3">
      <c r="K70" s="139">
        <v>2010</v>
      </c>
      <c r="L70" s="140">
        <f t="shared" si="114"/>
        <v>8.1941031941031941</v>
      </c>
      <c r="M70" s="140">
        <f t="shared" si="115"/>
        <v>8</v>
      </c>
      <c r="N70" s="140"/>
      <c r="O70" s="141">
        <f t="shared" si="116"/>
        <v>-7.1912267034213162E-4</v>
      </c>
      <c r="AD70" s="139">
        <v>2010</v>
      </c>
      <c r="AE70" s="140">
        <f t="shared" si="117"/>
        <v>40.700000000000003</v>
      </c>
      <c r="AF70" s="140">
        <f t="shared" si="118"/>
        <v>45</v>
      </c>
      <c r="AG70" s="141">
        <f t="shared" si="119"/>
        <v>-3.0952380952380842E-2</v>
      </c>
      <c r="AS70" s="139">
        <v>2010</v>
      </c>
      <c r="AT70" s="140">
        <f t="shared" si="120"/>
        <v>333.5</v>
      </c>
      <c r="AU70" s="140">
        <f t="shared" si="121"/>
        <v>360</v>
      </c>
      <c r="AV70" s="141">
        <f t="shared" si="122"/>
        <v>-3.1649245063879117E-2</v>
      </c>
    </row>
    <row r="71" spans="11:48" x14ac:dyDescent="0.3">
      <c r="K71" s="139">
        <v>2011</v>
      </c>
      <c r="L71" s="140">
        <f t="shared" si="114"/>
        <v>6.8636363636363633</v>
      </c>
      <c r="M71" s="140">
        <f t="shared" si="115"/>
        <v>7.95</v>
      </c>
      <c r="N71" s="140"/>
      <c r="O71" s="141">
        <f t="shared" si="116"/>
        <v>-0.10861865407319959</v>
      </c>
      <c r="AD71" s="139">
        <v>2011</v>
      </c>
      <c r="AE71" s="140">
        <f t="shared" si="117"/>
        <v>37.4</v>
      </c>
      <c r="AF71" s="140">
        <f t="shared" si="118"/>
        <v>35</v>
      </c>
      <c r="AG71" s="141">
        <f t="shared" si="119"/>
        <v>9.9999999999999867E-2</v>
      </c>
      <c r="AS71" s="139">
        <v>2011</v>
      </c>
      <c r="AT71" s="140">
        <f t="shared" si="120"/>
        <v>256.7</v>
      </c>
      <c r="AU71" s="140">
        <f t="shared" si="121"/>
        <v>278.25</v>
      </c>
      <c r="AV71" s="141">
        <f t="shared" si="122"/>
        <v>-1.9480519480519543E-2</v>
      </c>
    </row>
    <row r="72" spans="11:48" x14ac:dyDescent="0.3">
      <c r="K72" s="139">
        <v>2012</v>
      </c>
      <c r="L72" s="140">
        <f t="shared" si="114"/>
        <v>8.2240325865580441</v>
      </c>
      <c r="M72" s="140">
        <f t="shared" si="115"/>
        <v>9.1</v>
      </c>
      <c r="N72" s="140"/>
      <c r="O72" s="141">
        <f t="shared" si="116"/>
        <v>-8.6218601493550651E-2</v>
      </c>
      <c r="AD72" s="139">
        <v>2012</v>
      </c>
      <c r="AE72" s="140">
        <f t="shared" si="117"/>
        <v>49.1</v>
      </c>
      <c r="AF72" s="140">
        <f t="shared" si="118"/>
        <v>42</v>
      </c>
      <c r="AG72" s="141">
        <f t="shared" si="119"/>
        <v>0.14186046511627914</v>
      </c>
      <c r="AS72" s="139">
        <v>2012</v>
      </c>
      <c r="AT72" s="140">
        <f t="shared" si="120"/>
        <v>403.8</v>
      </c>
      <c r="AU72" s="140">
        <f t="shared" si="121"/>
        <v>382.2</v>
      </c>
      <c r="AV72" s="141">
        <f t="shared" si="122"/>
        <v>4.3410852713178238E-2</v>
      </c>
    </row>
    <row r="73" spans="11:48" x14ac:dyDescent="0.3">
      <c r="K73" s="139">
        <v>2013</v>
      </c>
      <c r="L73" s="140">
        <f t="shared" si="114"/>
        <v>7.6180048661800486</v>
      </c>
      <c r="M73" s="140">
        <f t="shared" si="115"/>
        <v>8.4499999999999993</v>
      </c>
      <c r="N73" s="140"/>
      <c r="O73" s="141">
        <f t="shared" si="116"/>
        <v>-5.9505572076537283E-2</v>
      </c>
      <c r="AD73" s="139">
        <v>2013</v>
      </c>
      <c r="AE73" s="140">
        <f t="shared" si="117"/>
        <v>41.1</v>
      </c>
      <c r="AF73" s="140">
        <f t="shared" si="118"/>
        <v>38</v>
      </c>
      <c r="AG73" s="141">
        <f t="shared" si="119"/>
        <v>0.11081081081081079</v>
      </c>
      <c r="AS73" s="139">
        <v>2013</v>
      </c>
      <c r="AT73" s="140">
        <f t="shared" si="120"/>
        <v>313.10000000000002</v>
      </c>
      <c r="AU73" s="140">
        <f t="shared" si="121"/>
        <v>321.10000000000002</v>
      </c>
      <c r="AV73" s="141">
        <f t="shared" si="122"/>
        <v>4.4711378044711481E-2</v>
      </c>
    </row>
    <row r="74" spans="11:48" x14ac:dyDescent="0.3">
      <c r="K74" s="139">
        <v>2014</v>
      </c>
      <c r="L74" s="140">
        <f t="shared" si="114"/>
        <v>7.8524096385542155</v>
      </c>
      <c r="M74" s="140">
        <f t="shared" si="115"/>
        <v>8.8000000000000007</v>
      </c>
      <c r="N74" s="140"/>
      <c r="O74" s="141">
        <f t="shared" si="116"/>
        <v>-6.5189328743545771E-2</v>
      </c>
      <c r="AD74" s="139">
        <v>2014</v>
      </c>
      <c r="AE74" s="140">
        <f t="shared" si="117"/>
        <v>33.200000000000003</v>
      </c>
      <c r="AF74" s="140">
        <f t="shared" si="118"/>
        <v>28</v>
      </c>
      <c r="AG74" s="141">
        <f t="shared" si="119"/>
        <v>7.0967741935483941E-2</v>
      </c>
      <c r="AS74" s="139">
        <v>2014</v>
      </c>
      <c r="AT74" s="140">
        <f t="shared" si="120"/>
        <v>260.7</v>
      </c>
      <c r="AU74" s="140">
        <f t="shared" si="121"/>
        <v>246.4</v>
      </c>
      <c r="AV74" s="141">
        <f t="shared" si="122"/>
        <v>1.1520737327188613E-3</v>
      </c>
    </row>
    <row r="75" spans="11:48" x14ac:dyDescent="0.3">
      <c r="K75" s="139">
        <v>2015</v>
      </c>
      <c r="L75" s="140">
        <f t="shared" si="114"/>
        <v>8.0362116991643457</v>
      </c>
      <c r="M75" s="140">
        <f t="shared" si="115"/>
        <v>8.6999999999999993</v>
      </c>
      <c r="N75" s="9"/>
      <c r="O75" s="141">
        <f t="shared" si="116"/>
        <v>-5.4563329510076919E-2</v>
      </c>
      <c r="AD75" s="139">
        <v>2015</v>
      </c>
      <c r="AE75" s="140">
        <f t="shared" si="117"/>
        <v>35.9</v>
      </c>
      <c r="AF75" s="140">
        <f t="shared" ref="AF75" si="123">AG22</f>
        <v>37</v>
      </c>
      <c r="AG75" s="141">
        <f t="shared" ref="AG75" si="124">AI22</f>
        <v>0.12187499999999996</v>
      </c>
      <c r="AS75" s="139">
        <v>2015</v>
      </c>
      <c r="AT75" s="140">
        <f t="shared" si="120"/>
        <v>288.5</v>
      </c>
      <c r="AU75" s="140">
        <f t="shared" ref="AU75" si="125">AV22</f>
        <v>321.89999999999998</v>
      </c>
      <c r="AV75" s="141">
        <f t="shared" ref="AV75" si="126">AX22</f>
        <v>6.0661764705882248E-2</v>
      </c>
    </row>
    <row r="76" spans="11:48" x14ac:dyDescent="0.3">
      <c r="K76" s="272">
        <v>2016</v>
      </c>
      <c r="L76" s="140">
        <f t="shared" si="114"/>
        <v>7.8683127572016458</v>
      </c>
      <c r="M76" s="140">
        <f t="shared" si="115"/>
        <v>8.1999999999999993</v>
      </c>
      <c r="N76" s="10"/>
      <c r="O76" s="141">
        <f t="shared" si="116"/>
        <v>-4.044966375589687E-2</v>
      </c>
      <c r="AD76" s="272">
        <v>2016</v>
      </c>
      <c r="AE76" s="140">
        <f t="shared" si="117"/>
        <v>48.6</v>
      </c>
      <c r="AF76" s="140">
        <f t="shared" ref="AF76" si="127">AG23</f>
        <v>57</v>
      </c>
      <c r="AG76" s="141">
        <f t="shared" ref="AG76" si="128">AI23</f>
        <v>0.13023255813953494</v>
      </c>
      <c r="AS76" s="272">
        <v>2016</v>
      </c>
      <c r="AT76" s="140">
        <f t="shared" si="120"/>
        <v>382.4</v>
      </c>
      <c r="AU76" s="140">
        <f t="shared" ref="AU76" si="129">AV23</f>
        <v>467.4</v>
      </c>
      <c r="AV76" s="141">
        <f t="shared" ref="AV76" si="130">AX23</f>
        <v>8.4515031196823465E-2</v>
      </c>
    </row>
    <row r="77" spans="11:48" x14ac:dyDescent="0.3">
      <c r="K77" s="199">
        <v>2017</v>
      </c>
      <c r="L77" s="142">
        <f t="shared" si="114"/>
        <v>6.1106290672451191</v>
      </c>
      <c r="M77" s="6"/>
      <c r="N77" s="6"/>
      <c r="O77" s="170"/>
      <c r="AD77" s="199">
        <v>2017</v>
      </c>
      <c r="AE77" s="142">
        <f t="shared" si="117"/>
        <v>46.1</v>
      </c>
      <c r="AF77" s="6"/>
      <c r="AG77" s="170"/>
      <c r="AS77" s="199">
        <v>2017</v>
      </c>
      <c r="AT77" s="142">
        <f>AT24</f>
        <v>281.7</v>
      </c>
      <c r="AU77" s="142"/>
      <c r="AV77" s="170"/>
    </row>
    <row r="79" spans="11:48" ht="43.2" x14ac:dyDescent="0.3">
      <c r="K79" s="136" t="s">
        <v>0</v>
      </c>
      <c r="L79" s="137" t="s">
        <v>75</v>
      </c>
      <c r="M79" s="137" t="s">
        <v>76</v>
      </c>
      <c r="N79" s="137"/>
      <c r="O79" s="138" t="s">
        <v>36</v>
      </c>
      <c r="AD79" s="136" t="s">
        <v>0</v>
      </c>
      <c r="AE79" s="137" t="s">
        <v>37</v>
      </c>
      <c r="AF79" s="137" t="s">
        <v>38</v>
      </c>
      <c r="AG79" s="138" t="s">
        <v>36</v>
      </c>
      <c r="AS79" s="136" t="s">
        <v>0</v>
      </c>
      <c r="AT79" s="137" t="s">
        <v>39</v>
      </c>
      <c r="AU79" s="137" t="s">
        <v>40</v>
      </c>
      <c r="AV79" s="138" t="s">
        <v>36</v>
      </c>
    </row>
    <row r="80" spans="11:48" x14ac:dyDescent="0.3">
      <c r="K80" s="139">
        <v>2000</v>
      </c>
      <c r="L80" s="140">
        <f>P7/1000000</f>
        <v>9.1999999999999993</v>
      </c>
      <c r="M80" s="140">
        <f>Q7/1000000</f>
        <v>9.4</v>
      </c>
      <c r="N80" s="140"/>
      <c r="O80" s="141">
        <f>(L80/M80)-1</f>
        <v>-2.1276595744680993E-2</v>
      </c>
      <c r="AD80" s="139">
        <v>2000</v>
      </c>
      <c r="AE80" s="140">
        <f>AF7</f>
        <v>44</v>
      </c>
      <c r="AF80" s="140">
        <f>AG7</f>
        <v>37</v>
      </c>
      <c r="AG80" s="141">
        <f>(AE80/AF80)-1</f>
        <v>0.18918918918918926</v>
      </c>
      <c r="AS80" s="139">
        <v>2000</v>
      </c>
      <c r="AT80" s="140">
        <f>AU7</f>
        <v>404.8</v>
      </c>
      <c r="AU80" s="140">
        <f>AV7</f>
        <v>347.8</v>
      </c>
      <c r="AV80" s="141">
        <f>(AT80/AU80)-1</f>
        <v>0.1638872915468661</v>
      </c>
    </row>
    <row r="81" spans="11:48" x14ac:dyDescent="0.3">
      <c r="K81" s="139">
        <v>2001</v>
      </c>
      <c r="L81" s="140">
        <f t="shared" ref="L81:M81" si="131">P8/1000000</f>
        <v>8.4</v>
      </c>
      <c r="M81" s="140">
        <f t="shared" si="131"/>
        <v>8.1999999999999993</v>
      </c>
      <c r="N81" s="140"/>
      <c r="O81" s="141">
        <f t="shared" ref="O81:O94" si="132">(L81/M81)-1</f>
        <v>2.4390243902439046E-2</v>
      </c>
      <c r="AD81" s="139">
        <v>2001</v>
      </c>
      <c r="AE81" s="140">
        <f t="shared" ref="AE81:AF81" si="133">AF8</f>
        <v>34</v>
      </c>
      <c r="AF81" s="140">
        <f t="shared" si="133"/>
        <v>40</v>
      </c>
      <c r="AG81" s="141">
        <f t="shared" ref="AG81:AG94" si="134">(AE81/AF81)-1</f>
        <v>-0.15000000000000002</v>
      </c>
      <c r="AS81" s="139">
        <v>2001</v>
      </c>
      <c r="AT81" s="140">
        <f t="shared" ref="AT81:AU81" si="135">AU8</f>
        <v>285.60000000000002</v>
      </c>
      <c r="AU81" s="140">
        <f t="shared" si="135"/>
        <v>328</v>
      </c>
      <c r="AV81" s="141">
        <f t="shared" ref="AV81:AV94" si="136">(AT81/AU81)-1</f>
        <v>-0.12926829268292672</v>
      </c>
    </row>
    <row r="82" spans="11:48" x14ac:dyDescent="0.3">
      <c r="K82" s="139">
        <v>2002</v>
      </c>
      <c r="L82" s="140">
        <f t="shared" ref="L82:M82" si="137">P9/1000000</f>
        <v>8</v>
      </c>
      <c r="M82" s="140">
        <f t="shared" si="137"/>
        <v>8.1999999999999993</v>
      </c>
      <c r="N82" s="140"/>
      <c r="O82" s="141">
        <f t="shared" si="132"/>
        <v>-2.4390243902438935E-2</v>
      </c>
      <c r="AD82" s="139">
        <v>2002</v>
      </c>
      <c r="AE82" s="140">
        <f t="shared" ref="AE82:AF82" si="138">AF9</f>
        <v>37</v>
      </c>
      <c r="AF82" s="140">
        <f t="shared" si="138"/>
        <v>33</v>
      </c>
      <c r="AG82" s="141">
        <f t="shared" si="134"/>
        <v>0.1212121212121211</v>
      </c>
      <c r="AS82" s="139">
        <v>2002</v>
      </c>
      <c r="AT82" s="140">
        <f t="shared" ref="AT82:AU82" si="139">AU9</f>
        <v>296</v>
      </c>
      <c r="AU82" s="140">
        <f t="shared" si="139"/>
        <v>270.60000000000002</v>
      </c>
      <c r="AV82" s="141">
        <f t="shared" si="136"/>
        <v>9.3865484109386443E-2</v>
      </c>
    </row>
    <row r="83" spans="11:48" x14ac:dyDescent="0.3">
      <c r="K83" s="139">
        <v>2003</v>
      </c>
      <c r="L83" s="140">
        <f t="shared" ref="L83:M83" si="140">P10/1000000</f>
        <v>9.6999999999999993</v>
      </c>
      <c r="M83" s="140">
        <f t="shared" si="140"/>
        <v>10</v>
      </c>
      <c r="N83" s="140"/>
      <c r="O83" s="141">
        <f t="shared" si="132"/>
        <v>-3.0000000000000027E-2</v>
      </c>
      <c r="AD83" s="139">
        <v>2003</v>
      </c>
      <c r="AE83" s="140">
        <f t="shared" ref="AE83:AF83" si="141">AF10</f>
        <v>40</v>
      </c>
      <c r="AF83" s="140">
        <f t="shared" si="141"/>
        <v>48</v>
      </c>
      <c r="AG83" s="141">
        <f t="shared" si="134"/>
        <v>-0.16666666666666663</v>
      </c>
      <c r="AS83" s="139">
        <v>2003</v>
      </c>
      <c r="AT83" s="140">
        <f t="shared" ref="AT83:AU83" si="142">AU10</f>
        <v>388</v>
      </c>
      <c r="AU83" s="140">
        <f t="shared" si="142"/>
        <v>480</v>
      </c>
      <c r="AV83" s="141">
        <f t="shared" si="136"/>
        <v>-0.19166666666666665</v>
      </c>
    </row>
    <row r="84" spans="11:48" x14ac:dyDescent="0.3">
      <c r="K84" s="139">
        <v>2004</v>
      </c>
      <c r="L84" s="140">
        <f t="shared" ref="L84:M84" si="143">P11/1000000</f>
        <v>9</v>
      </c>
      <c r="M84" s="140">
        <f t="shared" si="143"/>
        <v>8.5</v>
      </c>
      <c r="N84" s="140"/>
      <c r="O84" s="141">
        <f t="shared" si="132"/>
        <v>5.8823529411764719E-2</v>
      </c>
      <c r="AD84" s="139">
        <v>2004</v>
      </c>
      <c r="AE84" s="140">
        <f t="shared" ref="AE84:AF84" si="144">AF11</f>
        <v>41</v>
      </c>
      <c r="AF84" s="140">
        <f t="shared" si="144"/>
        <v>37</v>
      </c>
      <c r="AG84" s="141">
        <f t="shared" si="134"/>
        <v>0.10810810810810811</v>
      </c>
      <c r="AS84" s="139">
        <v>2004</v>
      </c>
      <c r="AT84" s="140">
        <f t="shared" ref="AT84:AU84" si="145">AU11</f>
        <v>369</v>
      </c>
      <c r="AU84" s="140">
        <f t="shared" si="145"/>
        <v>314.5</v>
      </c>
      <c r="AV84" s="141">
        <f t="shared" si="136"/>
        <v>0.17329093799682038</v>
      </c>
    </row>
    <row r="85" spans="11:48" x14ac:dyDescent="0.3">
      <c r="K85" s="139">
        <v>2005</v>
      </c>
      <c r="L85" s="140">
        <f t="shared" ref="L85:M85" si="146">P12/1000000</f>
        <v>9.6</v>
      </c>
      <c r="M85" s="140">
        <f t="shared" si="146"/>
        <v>9.5</v>
      </c>
      <c r="N85" s="140"/>
      <c r="O85" s="141">
        <f t="shared" si="132"/>
        <v>1.0526315789473717E-2</v>
      </c>
      <c r="AD85" s="139">
        <v>2005</v>
      </c>
      <c r="AE85" s="140">
        <f t="shared" ref="AE85:AF85" si="147">AF12</f>
        <v>44</v>
      </c>
      <c r="AF85" s="140">
        <f t="shared" si="147"/>
        <v>40</v>
      </c>
      <c r="AG85" s="141">
        <f t="shared" si="134"/>
        <v>0.10000000000000009</v>
      </c>
      <c r="AS85" s="139">
        <v>2005</v>
      </c>
      <c r="AT85" s="140">
        <f t="shared" ref="AT85:AU85" si="148">AU12</f>
        <v>422.4</v>
      </c>
      <c r="AU85" s="140">
        <f t="shared" si="148"/>
        <v>380</v>
      </c>
      <c r="AV85" s="141">
        <f t="shared" si="136"/>
        <v>0.111578947368421</v>
      </c>
    </row>
    <row r="86" spans="11:48" x14ac:dyDescent="0.3">
      <c r="K86" s="139">
        <v>2006</v>
      </c>
      <c r="L86" s="140">
        <f t="shared" ref="L86:M86" si="149">P13/1000000</f>
        <v>9.4</v>
      </c>
      <c r="M86" s="140">
        <f t="shared" si="149"/>
        <v>9.1</v>
      </c>
      <c r="N86" s="140"/>
      <c r="O86" s="141">
        <f t="shared" si="132"/>
        <v>3.2967032967033072E-2</v>
      </c>
      <c r="AD86" s="139">
        <v>2006</v>
      </c>
      <c r="AE86" s="140">
        <f t="shared" ref="AE86:AF86" si="150">AF13</f>
        <v>34</v>
      </c>
      <c r="AF86" s="140">
        <f t="shared" si="150"/>
        <v>32</v>
      </c>
      <c r="AG86" s="141">
        <f t="shared" si="134"/>
        <v>6.25E-2</v>
      </c>
      <c r="AS86" s="139">
        <v>2006</v>
      </c>
      <c r="AT86" s="140">
        <f t="shared" ref="AT86:AU86" si="151">AU13</f>
        <v>319.60000000000002</v>
      </c>
      <c r="AU86" s="140">
        <f t="shared" si="151"/>
        <v>291.2</v>
      </c>
      <c r="AV86" s="141">
        <f t="shared" si="136"/>
        <v>9.7527472527472625E-2</v>
      </c>
    </row>
    <row r="87" spans="11:48" x14ac:dyDescent="0.3">
      <c r="K87" s="139">
        <v>2007</v>
      </c>
      <c r="L87" s="140">
        <f t="shared" ref="L87:M87" si="152">P14/1000000</f>
        <v>9.5</v>
      </c>
      <c r="M87" s="140">
        <f t="shared" si="152"/>
        <v>8.6</v>
      </c>
      <c r="N87" s="140"/>
      <c r="O87" s="141">
        <f t="shared" si="132"/>
        <v>0.10465116279069764</v>
      </c>
      <c r="AD87" s="139">
        <v>2007</v>
      </c>
      <c r="AE87" s="140">
        <f t="shared" ref="AE87:AF87" si="153">AF14</f>
        <v>38</v>
      </c>
      <c r="AF87" s="140">
        <f t="shared" si="153"/>
        <v>33</v>
      </c>
      <c r="AG87" s="141">
        <f t="shared" si="134"/>
        <v>0.1515151515151516</v>
      </c>
      <c r="AS87" s="139">
        <v>2007</v>
      </c>
      <c r="AT87" s="140">
        <f t="shared" ref="AT87:AU87" si="154">AU14</f>
        <v>361</v>
      </c>
      <c r="AU87" s="140">
        <f t="shared" si="154"/>
        <v>283.8</v>
      </c>
      <c r="AV87" s="141">
        <f t="shared" si="136"/>
        <v>0.27202255109231843</v>
      </c>
    </row>
    <row r="88" spans="11:48" x14ac:dyDescent="0.3">
      <c r="K88" s="139">
        <v>2008</v>
      </c>
      <c r="L88" s="140">
        <f t="shared" ref="L88:M88" si="155">P15/1000000</f>
        <v>9.4</v>
      </c>
      <c r="M88" s="140">
        <f t="shared" si="155"/>
        <v>9</v>
      </c>
      <c r="N88" s="140"/>
      <c r="O88" s="141">
        <f t="shared" si="132"/>
        <v>4.4444444444444509E-2</v>
      </c>
      <c r="AD88" s="139">
        <v>2008</v>
      </c>
      <c r="AE88" s="140">
        <f t="shared" ref="AE88:AF88" si="156">AF15</f>
        <v>38</v>
      </c>
      <c r="AF88" s="140">
        <f t="shared" si="156"/>
        <v>40</v>
      </c>
      <c r="AG88" s="141">
        <f t="shared" si="134"/>
        <v>-5.0000000000000044E-2</v>
      </c>
      <c r="AS88" s="139">
        <v>2008</v>
      </c>
      <c r="AT88" s="140">
        <f t="shared" ref="AT88:AU88" si="157">AU15</f>
        <v>357.2</v>
      </c>
      <c r="AU88" s="140">
        <f t="shared" si="157"/>
        <v>360</v>
      </c>
      <c r="AV88" s="141">
        <f t="shared" si="136"/>
        <v>-7.7777777777777724E-3</v>
      </c>
    </row>
    <row r="89" spans="11:48" x14ac:dyDescent="0.3">
      <c r="K89" s="139">
        <v>2009</v>
      </c>
      <c r="L89" s="140">
        <f t="shared" ref="L89:M89" si="158">P16/1000000</f>
        <v>8.5</v>
      </c>
      <c r="M89" s="140">
        <f t="shared" si="158"/>
        <v>8.9499999999999993</v>
      </c>
      <c r="N89" s="140"/>
      <c r="O89" s="141">
        <f t="shared" si="132"/>
        <v>-5.0279329608938439E-2</v>
      </c>
      <c r="AD89" s="139">
        <v>2009</v>
      </c>
      <c r="AE89" s="140">
        <f t="shared" ref="AE89:AF89" si="159">AF16</f>
        <v>40</v>
      </c>
      <c r="AF89" s="140">
        <f t="shared" si="159"/>
        <v>42</v>
      </c>
      <c r="AG89" s="141">
        <f t="shared" si="134"/>
        <v>-4.7619047619047672E-2</v>
      </c>
      <c r="AS89" s="139">
        <v>2009</v>
      </c>
      <c r="AT89" s="140">
        <f t="shared" ref="AT89:AU89" si="160">AU16</f>
        <v>340</v>
      </c>
      <c r="AU89" s="140">
        <f t="shared" si="160"/>
        <v>375.9</v>
      </c>
      <c r="AV89" s="141">
        <f t="shared" si="136"/>
        <v>-9.5504123437084254E-2</v>
      </c>
    </row>
    <row r="90" spans="11:48" x14ac:dyDescent="0.3">
      <c r="K90" s="139">
        <v>2010</v>
      </c>
      <c r="L90" s="140">
        <f t="shared" ref="L90:M90" si="161">P17/1000000</f>
        <v>8.1999999999999993</v>
      </c>
      <c r="M90" s="140">
        <f t="shared" si="161"/>
        <v>8</v>
      </c>
      <c r="N90" s="140"/>
      <c r="O90" s="141">
        <f t="shared" si="132"/>
        <v>2.4999999999999911E-2</v>
      </c>
      <c r="AD90" s="139">
        <v>2010</v>
      </c>
      <c r="AE90" s="140">
        <f t="shared" ref="AE90:AF90" si="162">AF17</f>
        <v>42</v>
      </c>
      <c r="AF90" s="140">
        <f t="shared" si="162"/>
        <v>45</v>
      </c>
      <c r="AG90" s="141">
        <f t="shared" si="134"/>
        <v>-6.6666666666666652E-2</v>
      </c>
      <c r="AS90" s="139">
        <v>2010</v>
      </c>
      <c r="AT90" s="140">
        <f t="shared" ref="AT90:AU90" si="163">AU17</f>
        <v>344.4</v>
      </c>
      <c r="AU90" s="140">
        <f t="shared" si="163"/>
        <v>360</v>
      </c>
      <c r="AV90" s="141">
        <f t="shared" si="136"/>
        <v>-4.3333333333333446E-2</v>
      </c>
    </row>
    <row r="91" spans="11:48" x14ac:dyDescent="0.3">
      <c r="K91" s="139">
        <v>2011</v>
      </c>
      <c r="L91" s="140">
        <f t="shared" ref="L91:M91" si="164">P18/1000000</f>
        <v>7.7</v>
      </c>
      <c r="M91" s="140">
        <f t="shared" si="164"/>
        <v>7.95</v>
      </c>
      <c r="N91" s="140"/>
      <c r="O91" s="141">
        <f t="shared" si="132"/>
        <v>-3.1446540880503138E-2</v>
      </c>
      <c r="AD91" s="139">
        <v>2011</v>
      </c>
      <c r="AE91" s="140">
        <f t="shared" ref="AE91:AF91" si="165">AF18</f>
        <v>34</v>
      </c>
      <c r="AF91" s="140">
        <f t="shared" si="165"/>
        <v>35</v>
      </c>
      <c r="AG91" s="141">
        <f t="shared" si="134"/>
        <v>-2.8571428571428581E-2</v>
      </c>
      <c r="AS91" s="139">
        <v>2011</v>
      </c>
      <c r="AT91" s="140">
        <f t="shared" ref="AT91:AU91" si="166">AU18</f>
        <v>261.8</v>
      </c>
      <c r="AU91" s="140">
        <f t="shared" si="166"/>
        <v>278.25</v>
      </c>
      <c r="AV91" s="141">
        <f t="shared" si="136"/>
        <v>-5.9119496855345899E-2</v>
      </c>
    </row>
    <row r="92" spans="11:48" x14ac:dyDescent="0.3">
      <c r="K92" s="139">
        <v>2012</v>
      </c>
      <c r="L92" s="140">
        <f t="shared" ref="L92:M92" si="167">P19/1000000</f>
        <v>9</v>
      </c>
      <c r="M92" s="140">
        <f t="shared" si="167"/>
        <v>9.1</v>
      </c>
      <c r="N92" s="140"/>
      <c r="O92" s="141">
        <f t="shared" si="132"/>
        <v>-1.098901098901095E-2</v>
      </c>
      <c r="AD92" s="139">
        <v>2012</v>
      </c>
      <c r="AE92" s="140">
        <f t="shared" ref="AE92:AF92" si="168">AF19</f>
        <v>43</v>
      </c>
      <c r="AF92" s="140">
        <f t="shared" si="168"/>
        <v>42</v>
      </c>
      <c r="AG92" s="141">
        <f t="shared" si="134"/>
        <v>2.3809523809523725E-2</v>
      </c>
      <c r="AS92" s="139">
        <v>2012</v>
      </c>
      <c r="AT92" s="140">
        <f t="shared" ref="AT92:AU92" si="169">AU19</f>
        <v>387</v>
      </c>
      <c r="AU92" s="140">
        <f t="shared" si="169"/>
        <v>382.2</v>
      </c>
      <c r="AV92" s="141">
        <f t="shared" si="136"/>
        <v>1.2558869701726927E-2</v>
      </c>
    </row>
    <row r="93" spans="11:48" x14ac:dyDescent="0.3">
      <c r="K93" s="139">
        <v>2013</v>
      </c>
      <c r="L93" s="140">
        <f t="shared" ref="L93:M93" si="170">P20/1000000</f>
        <v>8.1</v>
      </c>
      <c r="M93" s="140">
        <f t="shared" si="170"/>
        <v>8.4499999999999993</v>
      </c>
      <c r="N93" s="140"/>
      <c r="O93" s="141">
        <f t="shared" si="132"/>
        <v>-4.1420118343195256E-2</v>
      </c>
      <c r="AD93" s="139">
        <v>2013</v>
      </c>
      <c r="AE93" s="140">
        <f t="shared" ref="AE93:AF93" si="171">AF20</f>
        <v>37</v>
      </c>
      <c r="AF93" s="140">
        <f t="shared" si="171"/>
        <v>38</v>
      </c>
      <c r="AG93" s="141">
        <f t="shared" si="134"/>
        <v>-2.6315789473684181E-2</v>
      </c>
      <c r="AS93" s="139">
        <v>2013</v>
      </c>
      <c r="AT93" s="140">
        <f t="shared" ref="AT93:AU93" si="172">AU20</f>
        <v>299.7</v>
      </c>
      <c r="AU93" s="140">
        <f t="shared" si="172"/>
        <v>321.10000000000002</v>
      </c>
      <c r="AV93" s="141">
        <f t="shared" si="136"/>
        <v>-6.6645904702584913E-2</v>
      </c>
    </row>
    <row r="94" spans="11:48" x14ac:dyDescent="0.3">
      <c r="K94" s="139">
        <v>2014</v>
      </c>
      <c r="L94" s="140">
        <f t="shared" ref="L94:M94" si="173">P21/1000000</f>
        <v>8.4</v>
      </c>
      <c r="M94" s="140">
        <f t="shared" si="173"/>
        <v>8.8000000000000007</v>
      </c>
      <c r="N94" s="140"/>
      <c r="O94" s="141">
        <f t="shared" si="132"/>
        <v>-4.5454545454545525E-2</v>
      </c>
      <c r="AD94" s="139">
        <v>2014</v>
      </c>
      <c r="AE94" s="140">
        <f t="shared" ref="AE94:AF94" si="174">AF21</f>
        <v>31</v>
      </c>
      <c r="AF94" s="140">
        <f t="shared" si="174"/>
        <v>28</v>
      </c>
      <c r="AG94" s="141">
        <f t="shared" si="134"/>
        <v>0.10714285714285721</v>
      </c>
      <c r="AS94" s="139">
        <v>2014</v>
      </c>
      <c r="AT94" s="140">
        <f t="shared" ref="AT94:AU94" si="175">AU21</f>
        <v>260.39999999999998</v>
      </c>
      <c r="AU94" s="140">
        <f t="shared" si="175"/>
        <v>246.4</v>
      </c>
      <c r="AV94" s="141">
        <f t="shared" si="136"/>
        <v>5.6818181818181657E-2</v>
      </c>
    </row>
    <row r="95" spans="11:48" x14ac:dyDescent="0.3">
      <c r="K95" s="139">
        <v>2015</v>
      </c>
      <c r="L95" s="140">
        <f>P22/1000000</f>
        <v>8.5</v>
      </c>
      <c r="M95" s="140">
        <f t="shared" ref="M95:M96" si="176">Q22/1000000</f>
        <v>8.6999999999999993</v>
      </c>
      <c r="N95" s="140"/>
      <c r="O95" s="141">
        <f t="shared" ref="O95:O96" si="177">(L95/M95)-1</f>
        <v>-2.2988505747126409E-2</v>
      </c>
      <c r="AD95" s="139">
        <v>2015</v>
      </c>
      <c r="AE95" s="140">
        <f>AF22</f>
        <v>32</v>
      </c>
      <c r="AF95" s="140">
        <f t="shared" ref="AF95" si="178">AG22</f>
        <v>37</v>
      </c>
      <c r="AG95" s="141">
        <f t="shared" ref="AG95" si="179">(AE95/AF95)-1</f>
        <v>-0.13513513513513509</v>
      </c>
      <c r="AS95" s="139">
        <v>2015</v>
      </c>
      <c r="AT95" s="140">
        <f>AU22</f>
        <v>272</v>
      </c>
      <c r="AU95" s="140">
        <f t="shared" ref="AU95" si="180">AV22</f>
        <v>321.89999999999998</v>
      </c>
      <c r="AV95" s="141">
        <f t="shared" ref="AV95" si="181">(AT95/AU95)-1</f>
        <v>-0.15501708605156872</v>
      </c>
    </row>
    <row r="96" spans="11:48" x14ac:dyDescent="0.3">
      <c r="K96" s="272">
        <v>2016</v>
      </c>
      <c r="L96" s="140">
        <f>P23/1000000</f>
        <v>8.1999999999999993</v>
      </c>
      <c r="M96" s="140">
        <f t="shared" si="176"/>
        <v>8.1999999999999993</v>
      </c>
      <c r="N96" s="10"/>
      <c r="O96" s="141">
        <f t="shared" si="177"/>
        <v>0</v>
      </c>
      <c r="AD96" s="272">
        <v>2016</v>
      </c>
      <c r="AE96" s="140">
        <f>AF23</f>
        <v>43</v>
      </c>
      <c r="AF96" s="140">
        <f t="shared" ref="AF96" si="182">AG23</f>
        <v>57</v>
      </c>
      <c r="AG96" s="141">
        <f t="shared" ref="AG96" si="183">(AE96/AF96)-1</f>
        <v>-0.24561403508771928</v>
      </c>
      <c r="AS96" s="272">
        <v>2016</v>
      </c>
      <c r="AT96" s="140">
        <f>AU23</f>
        <v>352.6</v>
      </c>
      <c r="AU96" s="140">
        <f t="shared" ref="AU96" si="184">AV23</f>
        <v>467.4</v>
      </c>
      <c r="AV96" s="141">
        <f t="shared" ref="AV96" si="185">(AT96/AU96)-1</f>
        <v>-0.24561403508771917</v>
      </c>
    </row>
    <row r="97" spans="11:48" x14ac:dyDescent="0.3">
      <c r="K97" s="199">
        <v>2017</v>
      </c>
      <c r="L97" s="142">
        <f>P24/1000000</f>
        <v>0</v>
      </c>
      <c r="M97" s="6"/>
      <c r="N97" s="6"/>
      <c r="O97" s="170"/>
      <c r="AD97" s="199">
        <v>2017</v>
      </c>
      <c r="AE97" s="142">
        <f>AF24</f>
        <v>0</v>
      </c>
      <c r="AF97" s="6"/>
      <c r="AG97" s="170"/>
      <c r="AS97" s="199">
        <v>2017</v>
      </c>
      <c r="AT97" s="142">
        <f>AU24</f>
        <v>0</v>
      </c>
      <c r="AU97" s="142"/>
      <c r="AV97" s="170"/>
    </row>
  </sheetData>
  <sortState ref="A4:D17">
    <sortCondition ref="A4:A17"/>
  </sortState>
  <pageMargins left="0.2" right="0.2" top="0.25" bottom="0.25" header="0.3" footer="0.3"/>
  <pageSetup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topLeftCell="A72" workbookViewId="0">
      <selection activeCell="R16" sqref="R16"/>
    </sheetView>
  </sheetViews>
  <sheetFormatPr defaultRowHeight="14.4" x14ac:dyDescent="0.3"/>
  <cols>
    <col min="1" max="1" width="12.77734375" customWidth="1"/>
    <col min="2" max="2" width="10.6640625" bestFit="1" customWidth="1"/>
    <col min="3" max="3" width="19.5546875" bestFit="1" customWidth="1"/>
    <col min="4" max="4" width="10.88671875" bestFit="1" customWidth="1"/>
    <col min="5" max="5" width="11.77734375" bestFit="1" customWidth="1"/>
    <col min="6" max="6" width="12" bestFit="1" customWidth="1"/>
    <col min="8" max="8" width="12.77734375" customWidth="1"/>
    <col min="9" max="9" width="10.6640625" bestFit="1" customWidth="1"/>
    <col min="10" max="10" width="19.5546875" bestFit="1" customWidth="1"/>
    <col min="11" max="11" width="10.88671875" bestFit="1" customWidth="1"/>
    <col min="13" max="21" width="10.77734375" customWidth="1"/>
  </cols>
  <sheetData>
    <row r="1" spans="1:27" ht="21" x14ac:dyDescent="0.4">
      <c r="A1" s="130" t="s">
        <v>108</v>
      </c>
    </row>
    <row r="3" spans="1:27" x14ac:dyDescent="0.3">
      <c r="A3" s="3" t="s">
        <v>0</v>
      </c>
      <c r="B3" s="3" t="s">
        <v>1</v>
      </c>
      <c r="C3" s="3" t="s">
        <v>2</v>
      </c>
      <c r="D3" s="3" t="s">
        <v>3</v>
      </c>
      <c r="E3" s="86" t="s">
        <v>14</v>
      </c>
      <c r="F3" s="87"/>
      <c r="H3" s="3" t="s">
        <v>0</v>
      </c>
      <c r="I3" s="3" t="s">
        <v>1</v>
      </c>
      <c r="J3" s="3" t="s">
        <v>2</v>
      </c>
      <c r="K3" s="3" t="s">
        <v>41</v>
      </c>
    </row>
    <row r="4" spans="1:27" x14ac:dyDescent="0.3">
      <c r="A4">
        <v>2007</v>
      </c>
      <c r="B4" t="s">
        <v>15</v>
      </c>
      <c r="C4" t="s">
        <v>16</v>
      </c>
      <c r="D4" s="4">
        <v>92980000</v>
      </c>
      <c r="H4">
        <v>2007</v>
      </c>
      <c r="I4" t="s">
        <v>15</v>
      </c>
      <c r="J4" t="s">
        <v>16</v>
      </c>
      <c r="K4" s="4">
        <v>92980000</v>
      </c>
      <c r="M4" s="166" t="s">
        <v>0</v>
      </c>
      <c r="N4" s="167" t="s">
        <v>42</v>
      </c>
      <c r="O4" s="167" t="s">
        <v>43</v>
      </c>
      <c r="P4" s="167" t="s">
        <v>44</v>
      </c>
      <c r="Q4" s="167" t="s">
        <v>45</v>
      </c>
      <c r="R4" s="168" t="s">
        <v>46</v>
      </c>
      <c r="S4" s="173" t="s">
        <v>47</v>
      </c>
      <c r="T4" s="235"/>
      <c r="U4" s="166" t="s">
        <v>0</v>
      </c>
      <c r="V4" s="167" t="s">
        <v>42</v>
      </c>
      <c r="W4" s="167" t="s">
        <v>43</v>
      </c>
      <c r="X4" s="167" t="s">
        <v>44</v>
      </c>
      <c r="Y4" s="167" t="s">
        <v>45</v>
      </c>
      <c r="Z4" s="167" t="s">
        <v>46</v>
      </c>
      <c r="AA4" s="173" t="s">
        <v>47</v>
      </c>
    </row>
    <row r="5" spans="1:27" x14ac:dyDescent="0.3">
      <c r="A5">
        <v>2007</v>
      </c>
      <c r="B5" t="s">
        <v>4</v>
      </c>
      <c r="C5" t="s">
        <v>16</v>
      </c>
      <c r="D5" s="4">
        <v>283800000</v>
      </c>
      <c r="H5">
        <v>2007</v>
      </c>
      <c r="I5" t="s">
        <v>4</v>
      </c>
      <c r="J5" t="s">
        <v>16</v>
      </c>
      <c r="K5" s="4">
        <v>283800000</v>
      </c>
      <c r="M5" s="139">
        <v>2007</v>
      </c>
      <c r="N5" s="9">
        <v>92980000</v>
      </c>
      <c r="O5" s="9">
        <v>283800000</v>
      </c>
      <c r="P5" s="9">
        <v>84280000</v>
      </c>
      <c r="Q5" s="9">
        <v>98000000</v>
      </c>
      <c r="R5" s="169">
        <v>140600000</v>
      </c>
      <c r="S5" s="169">
        <f>SUM(N5:R5)</f>
        <v>699660000</v>
      </c>
      <c r="T5" s="9"/>
      <c r="U5" s="139">
        <v>2007</v>
      </c>
      <c r="V5" s="2">
        <f>N5/1000000</f>
        <v>92.98</v>
      </c>
      <c r="W5" s="2">
        <f t="shared" ref="W5:AA14" si="0">O5/1000000</f>
        <v>283.8</v>
      </c>
      <c r="X5" s="2">
        <f t="shared" si="0"/>
        <v>84.28</v>
      </c>
      <c r="Y5" s="2">
        <f t="shared" si="0"/>
        <v>98</v>
      </c>
      <c r="Z5" s="2">
        <f t="shared" si="0"/>
        <v>140.6</v>
      </c>
      <c r="AA5" s="236">
        <f t="shared" si="0"/>
        <v>699.66</v>
      </c>
    </row>
    <row r="6" spans="1:27" x14ac:dyDescent="0.3">
      <c r="A6">
        <v>2007</v>
      </c>
      <c r="B6" t="s">
        <v>17</v>
      </c>
      <c r="C6" t="s">
        <v>16</v>
      </c>
      <c r="D6" s="4">
        <v>84280000</v>
      </c>
      <c r="H6">
        <v>2007</v>
      </c>
      <c r="I6" t="s">
        <v>17</v>
      </c>
      <c r="J6" t="s">
        <v>16</v>
      </c>
      <c r="K6" s="4">
        <v>84280000</v>
      </c>
      <c r="M6" s="139">
        <v>2008</v>
      </c>
      <c r="N6" s="9">
        <v>61600000</v>
      </c>
      <c r="O6" s="9">
        <v>360000000</v>
      </c>
      <c r="P6" s="9">
        <v>73480000</v>
      </c>
      <c r="Q6" s="9">
        <v>170200000</v>
      </c>
      <c r="R6" s="169">
        <v>99000000</v>
      </c>
      <c r="S6" s="169">
        <f t="shared" ref="S6:S15" si="1">SUM(N6:R6)</f>
        <v>764280000</v>
      </c>
      <c r="T6" s="9"/>
      <c r="U6" s="139">
        <v>2008</v>
      </c>
      <c r="V6" s="2">
        <f t="shared" ref="V6:V14" si="2">N6/1000000</f>
        <v>61.6</v>
      </c>
      <c r="W6" s="2">
        <f t="shared" si="0"/>
        <v>360</v>
      </c>
      <c r="X6" s="2">
        <f t="shared" si="0"/>
        <v>73.48</v>
      </c>
      <c r="Y6" s="2">
        <f t="shared" si="0"/>
        <v>170.2</v>
      </c>
      <c r="Z6" s="2">
        <f t="shared" si="0"/>
        <v>99</v>
      </c>
      <c r="AA6" s="236">
        <f t="shared" si="0"/>
        <v>764.28</v>
      </c>
    </row>
    <row r="7" spans="1:27" x14ac:dyDescent="0.3">
      <c r="A7">
        <v>2007</v>
      </c>
      <c r="B7" t="s">
        <v>18</v>
      </c>
      <c r="C7" t="s">
        <v>16</v>
      </c>
      <c r="D7" s="4">
        <v>98000000</v>
      </c>
      <c r="H7">
        <v>2007</v>
      </c>
      <c r="I7" t="s">
        <v>18</v>
      </c>
      <c r="J7" t="s">
        <v>16</v>
      </c>
      <c r="K7" s="4">
        <v>98000000</v>
      </c>
      <c r="M7" s="139">
        <v>2009</v>
      </c>
      <c r="N7" s="9">
        <v>101410000</v>
      </c>
      <c r="O7" s="9">
        <v>375900000</v>
      </c>
      <c r="P7" s="9">
        <v>77280000</v>
      </c>
      <c r="Q7" s="9">
        <v>74800000</v>
      </c>
      <c r="R7" s="169">
        <v>61250000</v>
      </c>
      <c r="S7" s="169">
        <f t="shared" si="1"/>
        <v>690640000</v>
      </c>
      <c r="T7" s="9"/>
      <c r="U7" s="139">
        <v>2009</v>
      </c>
      <c r="V7" s="2">
        <f t="shared" si="2"/>
        <v>101.41</v>
      </c>
      <c r="W7" s="2">
        <f t="shared" si="0"/>
        <v>375.9</v>
      </c>
      <c r="X7" s="2">
        <f t="shared" si="0"/>
        <v>77.28</v>
      </c>
      <c r="Y7" s="2">
        <f t="shared" si="0"/>
        <v>74.8</v>
      </c>
      <c r="Z7" s="2">
        <f t="shared" si="0"/>
        <v>61.25</v>
      </c>
      <c r="AA7" s="236">
        <f t="shared" si="0"/>
        <v>690.64</v>
      </c>
    </row>
    <row r="8" spans="1:27" x14ac:dyDescent="0.3">
      <c r="A8">
        <v>2007</v>
      </c>
      <c r="B8" t="s">
        <v>19</v>
      </c>
      <c r="C8" t="s">
        <v>16</v>
      </c>
      <c r="D8" s="4">
        <v>140600000</v>
      </c>
      <c r="H8">
        <v>2007</v>
      </c>
      <c r="I8" t="s">
        <v>19</v>
      </c>
      <c r="J8" t="s">
        <v>16</v>
      </c>
      <c r="K8" s="4">
        <v>140600000</v>
      </c>
      <c r="M8" s="139">
        <v>2010</v>
      </c>
      <c r="N8" s="9">
        <v>103350000</v>
      </c>
      <c r="O8" s="9">
        <v>360000000</v>
      </c>
      <c r="P8" s="9">
        <v>64070000</v>
      </c>
      <c r="Q8" s="9">
        <v>119350000</v>
      </c>
      <c r="R8" s="169">
        <v>123750000</v>
      </c>
      <c r="S8" s="169">
        <f t="shared" si="1"/>
        <v>770520000</v>
      </c>
      <c r="T8" s="9"/>
      <c r="U8" s="139">
        <v>2010</v>
      </c>
      <c r="V8" s="2">
        <f t="shared" si="2"/>
        <v>103.35</v>
      </c>
      <c r="W8" s="2">
        <f t="shared" si="0"/>
        <v>360</v>
      </c>
      <c r="X8" s="2">
        <f t="shared" si="0"/>
        <v>64.069999999999993</v>
      </c>
      <c r="Y8" s="2">
        <f t="shared" si="0"/>
        <v>119.35</v>
      </c>
      <c r="Z8" s="2">
        <f t="shared" si="0"/>
        <v>123.75</v>
      </c>
      <c r="AA8" s="236">
        <f t="shared" si="0"/>
        <v>770.52</v>
      </c>
    </row>
    <row r="9" spans="1:27" x14ac:dyDescent="0.3">
      <c r="A9" s="88"/>
      <c r="B9" s="88"/>
      <c r="C9" s="88"/>
      <c r="D9" s="89"/>
      <c r="E9" s="4">
        <f>SUM(D4:D8)</f>
        <v>699660000</v>
      </c>
      <c r="F9" s="88"/>
      <c r="H9">
        <v>2008</v>
      </c>
      <c r="I9" t="s">
        <v>15</v>
      </c>
      <c r="J9" t="s">
        <v>16</v>
      </c>
      <c r="K9" s="4">
        <v>61600000</v>
      </c>
      <c r="M9" s="139">
        <v>2011</v>
      </c>
      <c r="N9" s="9">
        <v>77828000</v>
      </c>
      <c r="O9" s="9">
        <v>278250000</v>
      </c>
      <c r="P9" s="9">
        <v>66600000</v>
      </c>
      <c r="Q9" s="9">
        <v>73600000</v>
      </c>
      <c r="R9" s="169">
        <v>47500000</v>
      </c>
      <c r="S9" s="169">
        <f t="shared" si="1"/>
        <v>543778000</v>
      </c>
      <c r="T9" s="9"/>
      <c r="U9" s="139">
        <v>2011</v>
      </c>
      <c r="V9" s="2">
        <f t="shared" si="2"/>
        <v>77.828000000000003</v>
      </c>
      <c r="W9" s="2">
        <f t="shared" si="0"/>
        <v>278.25</v>
      </c>
      <c r="X9" s="2">
        <f t="shared" si="0"/>
        <v>66.599999999999994</v>
      </c>
      <c r="Y9" s="2">
        <f t="shared" si="0"/>
        <v>73.599999999999994</v>
      </c>
      <c r="Z9" s="2">
        <f t="shared" si="0"/>
        <v>47.5</v>
      </c>
      <c r="AA9" s="236">
        <f t="shared" si="0"/>
        <v>543.77800000000002</v>
      </c>
    </row>
    <row r="10" spans="1:27" x14ac:dyDescent="0.3">
      <c r="A10">
        <v>2008</v>
      </c>
      <c r="B10" t="s">
        <v>15</v>
      </c>
      <c r="C10" t="s">
        <v>16</v>
      </c>
      <c r="D10" s="4">
        <v>61600000</v>
      </c>
      <c r="H10">
        <v>2008</v>
      </c>
      <c r="I10" t="s">
        <v>4</v>
      </c>
      <c r="J10" t="s">
        <v>16</v>
      </c>
      <c r="K10" s="4">
        <v>360000000</v>
      </c>
      <c r="M10" s="139">
        <v>2012</v>
      </c>
      <c r="N10" s="9">
        <v>69268000</v>
      </c>
      <c r="O10" s="9">
        <v>382200000</v>
      </c>
      <c r="P10" s="9">
        <v>53300000</v>
      </c>
      <c r="Q10" s="9">
        <v>154800000</v>
      </c>
      <c r="R10" s="169">
        <v>95700000</v>
      </c>
      <c r="S10" s="169">
        <f t="shared" si="1"/>
        <v>755268000</v>
      </c>
      <c r="T10" s="9"/>
      <c r="U10" s="139">
        <v>2012</v>
      </c>
      <c r="V10" s="2">
        <f t="shared" si="2"/>
        <v>69.268000000000001</v>
      </c>
      <c r="W10" s="2">
        <f t="shared" si="0"/>
        <v>382.2</v>
      </c>
      <c r="X10" s="2">
        <f t="shared" si="0"/>
        <v>53.3</v>
      </c>
      <c r="Y10" s="2">
        <f t="shared" si="0"/>
        <v>154.80000000000001</v>
      </c>
      <c r="Z10" s="2">
        <f t="shared" si="0"/>
        <v>95.7</v>
      </c>
      <c r="AA10" s="236">
        <f t="shared" si="0"/>
        <v>755.26800000000003</v>
      </c>
    </row>
    <row r="11" spans="1:27" x14ac:dyDescent="0.3">
      <c r="A11">
        <v>2008</v>
      </c>
      <c r="B11" t="s">
        <v>4</v>
      </c>
      <c r="C11" t="s">
        <v>16</v>
      </c>
      <c r="D11" s="4">
        <v>360000000</v>
      </c>
      <c r="H11">
        <v>2008</v>
      </c>
      <c r="I11" t="s">
        <v>17</v>
      </c>
      <c r="J11" t="s">
        <v>16</v>
      </c>
      <c r="K11" s="4">
        <v>73480000</v>
      </c>
      <c r="M11" s="139">
        <v>2013</v>
      </c>
      <c r="N11" s="9">
        <v>41488000</v>
      </c>
      <c r="O11" s="9">
        <v>321100000</v>
      </c>
      <c r="P11" s="9">
        <v>39900000</v>
      </c>
      <c r="Q11" s="9">
        <v>105400000</v>
      </c>
      <c r="R11" s="169">
        <v>68150000</v>
      </c>
      <c r="S11" s="169">
        <f t="shared" si="1"/>
        <v>576038000</v>
      </c>
      <c r="T11" s="9"/>
      <c r="U11" s="139">
        <v>2013</v>
      </c>
      <c r="V11" s="2">
        <f t="shared" si="2"/>
        <v>41.488</v>
      </c>
      <c r="W11" s="2">
        <f t="shared" si="0"/>
        <v>321.10000000000002</v>
      </c>
      <c r="X11" s="2">
        <f t="shared" si="0"/>
        <v>39.9</v>
      </c>
      <c r="Y11" s="2">
        <f t="shared" si="0"/>
        <v>105.4</v>
      </c>
      <c r="Z11" s="2">
        <f t="shared" si="0"/>
        <v>68.150000000000006</v>
      </c>
      <c r="AA11" s="236">
        <f t="shared" si="0"/>
        <v>576.03800000000001</v>
      </c>
    </row>
    <row r="12" spans="1:27" x14ac:dyDescent="0.3">
      <c r="A12">
        <v>2008</v>
      </c>
      <c r="B12" t="s">
        <v>17</v>
      </c>
      <c r="C12" t="s">
        <v>16</v>
      </c>
      <c r="D12" s="4">
        <v>73480000</v>
      </c>
      <c r="H12">
        <v>2008</v>
      </c>
      <c r="I12" t="s">
        <v>18</v>
      </c>
      <c r="J12" t="s">
        <v>16</v>
      </c>
      <c r="K12" s="4">
        <v>170200000</v>
      </c>
      <c r="M12" s="139">
        <v>2014</v>
      </c>
      <c r="N12" s="9">
        <v>89812000</v>
      </c>
      <c r="O12" s="9">
        <v>246400000</v>
      </c>
      <c r="P12" s="9">
        <v>71050000</v>
      </c>
      <c r="Q12" s="9">
        <v>47600000</v>
      </c>
      <c r="R12" s="169">
        <v>67500000</v>
      </c>
      <c r="S12" s="169">
        <f t="shared" si="1"/>
        <v>522362000</v>
      </c>
      <c r="T12" s="9"/>
      <c r="U12" s="139">
        <v>2014</v>
      </c>
      <c r="V12" s="2">
        <f t="shared" si="2"/>
        <v>89.811999999999998</v>
      </c>
      <c r="W12" s="2">
        <f t="shared" si="0"/>
        <v>246.4</v>
      </c>
      <c r="X12" s="2">
        <f t="shared" si="0"/>
        <v>71.05</v>
      </c>
      <c r="Y12" s="2">
        <f t="shared" si="0"/>
        <v>47.6</v>
      </c>
      <c r="Z12" s="2">
        <f t="shared" si="0"/>
        <v>67.5</v>
      </c>
      <c r="AA12" s="236">
        <f t="shared" si="0"/>
        <v>522.36199999999997</v>
      </c>
    </row>
    <row r="13" spans="1:27" x14ac:dyDescent="0.3">
      <c r="A13">
        <v>2008</v>
      </c>
      <c r="B13" t="s">
        <v>18</v>
      </c>
      <c r="C13" t="s">
        <v>16</v>
      </c>
      <c r="D13" s="4">
        <v>170200000</v>
      </c>
      <c r="H13">
        <v>2008</v>
      </c>
      <c r="I13" t="s">
        <v>19</v>
      </c>
      <c r="J13" t="s">
        <v>16</v>
      </c>
      <c r="K13" s="4">
        <v>99000000</v>
      </c>
      <c r="M13" s="139">
        <v>2015</v>
      </c>
      <c r="N13" s="4">
        <v>81485000</v>
      </c>
      <c r="O13" s="4">
        <v>321900000</v>
      </c>
      <c r="P13" s="4">
        <v>45980000</v>
      </c>
      <c r="Q13" s="4">
        <v>98800000</v>
      </c>
      <c r="R13" s="228">
        <v>106500000</v>
      </c>
      <c r="S13" s="169">
        <f t="shared" si="1"/>
        <v>654665000</v>
      </c>
      <c r="T13" s="9"/>
      <c r="U13" s="139">
        <v>2015</v>
      </c>
      <c r="V13" s="2">
        <f t="shared" si="2"/>
        <v>81.484999999999999</v>
      </c>
      <c r="W13" s="2">
        <f t="shared" si="0"/>
        <v>321.89999999999998</v>
      </c>
      <c r="X13" s="2">
        <f t="shared" si="0"/>
        <v>45.98</v>
      </c>
      <c r="Y13" s="2">
        <f t="shared" si="0"/>
        <v>98.8</v>
      </c>
      <c r="Z13" s="2">
        <f t="shared" si="0"/>
        <v>106.5</v>
      </c>
      <c r="AA13" s="236">
        <f t="shared" si="0"/>
        <v>654.66499999999996</v>
      </c>
    </row>
    <row r="14" spans="1:27" x14ac:dyDescent="0.3">
      <c r="A14">
        <v>2008</v>
      </c>
      <c r="B14" t="s">
        <v>19</v>
      </c>
      <c r="C14" t="s">
        <v>16</v>
      </c>
      <c r="D14" s="4">
        <v>99000000</v>
      </c>
      <c r="H14">
        <v>2009</v>
      </c>
      <c r="I14" t="s">
        <v>15</v>
      </c>
      <c r="J14" t="s">
        <v>16</v>
      </c>
      <c r="K14" s="4">
        <v>101410000</v>
      </c>
      <c r="M14" s="272">
        <v>2016</v>
      </c>
      <c r="N14" s="9">
        <v>106000000</v>
      </c>
      <c r="O14" s="9">
        <v>467400000</v>
      </c>
      <c r="P14" s="9">
        <v>70740000</v>
      </c>
      <c r="Q14" s="9">
        <v>136500000</v>
      </c>
      <c r="R14" s="169">
        <v>89600000</v>
      </c>
      <c r="S14" s="169">
        <f t="shared" si="1"/>
        <v>870240000</v>
      </c>
      <c r="T14" s="9"/>
      <c r="U14" s="272">
        <v>2016</v>
      </c>
      <c r="V14" s="234">
        <f t="shared" si="2"/>
        <v>106</v>
      </c>
      <c r="W14" s="234">
        <f t="shared" si="0"/>
        <v>467.4</v>
      </c>
      <c r="X14" s="234">
        <f t="shared" si="0"/>
        <v>70.739999999999995</v>
      </c>
      <c r="Y14" s="234">
        <f t="shared" si="0"/>
        <v>136.5</v>
      </c>
      <c r="Z14" s="234">
        <f t="shared" si="0"/>
        <v>89.6</v>
      </c>
      <c r="AA14" s="236">
        <f t="shared" si="0"/>
        <v>870.24</v>
      </c>
    </row>
    <row r="15" spans="1:27" x14ac:dyDescent="0.3">
      <c r="A15" s="88"/>
      <c r="B15" s="88"/>
      <c r="C15" s="88"/>
      <c r="D15" s="89"/>
      <c r="E15" s="4">
        <f>SUM(D10:D14)</f>
        <v>764280000</v>
      </c>
      <c r="F15" s="88"/>
      <c r="H15">
        <v>2009</v>
      </c>
      <c r="I15" t="s">
        <v>4</v>
      </c>
      <c r="J15" t="s">
        <v>16</v>
      </c>
      <c r="K15" s="4">
        <v>375900000</v>
      </c>
      <c r="M15" s="199">
        <v>2017</v>
      </c>
      <c r="N15" s="7">
        <v>69500000</v>
      </c>
      <c r="O15" s="7">
        <v>281700000</v>
      </c>
      <c r="P15" s="7">
        <v>41800000</v>
      </c>
      <c r="Q15" s="7">
        <v>100100000</v>
      </c>
      <c r="R15" s="7">
        <v>71195020</v>
      </c>
      <c r="S15" s="318">
        <f t="shared" si="1"/>
        <v>564295020</v>
      </c>
      <c r="U15" s="199">
        <v>2017</v>
      </c>
      <c r="V15" s="6">
        <f t="shared" ref="V15" si="3">N15/1000000</f>
        <v>69.5</v>
      </c>
      <c r="W15" s="6">
        <f t="shared" ref="W15" si="4">O15/1000000</f>
        <v>281.7</v>
      </c>
      <c r="X15" s="6">
        <f t="shared" ref="X15" si="5">P15/1000000</f>
        <v>41.8</v>
      </c>
      <c r="Y15" s="6">
        <f t="shared" ref="Y15" si="6">Q15/1000000</f>
        <v>100.1</v>
      </c>
      <c r="Z15" s="6">
        <f t="shared" ref="Z15" si="7">R15/1000000</f>
        <v>71.19502</v>
      </c>
      <c r="AA15" s="229">
        <f t="shared" ref="AA15" si="8">S15/1000000</f>
        <v>564.29502000000002</v>
      </c>
    </row>
    <row r="16" spans="1:27" x14ac:dyDescent="0.3">
      <c r="A16">
        <v>2009</v>
      </c>
      <c r="B16" t="s">
        <v>15</v>
      </c>
      <c r="C16" t="s">
        <v>16</v>
      </c>
      <c r="D16" s="4">
        <v>101410000</v>
      </c>
      <c r="H16">
        <v>2009</v>
      </c>
      <c r="I16" t="s">
        <v>17</v>
      </c>
      <c r="J16" t="s">
        <v>16</v>
      </c>
      <c r="K16" s="4">
        <v>77280000</v>
      </c>
      <c r="T16" s="165"/>
      <c r="U16" s="165"/>
    </row>
    <row r="17" spans="1:21" x14ac:dyDescent="0.3">
      <c r="A17">
        <v>2009</v>
      </c>
      <c r="B17" t="s">
        <v>4</v>
      </c>
      <c r="C17" t="s">
        <v>16</v>
      </c>
      <c r="D17" s="4">
        <v>375900000</v>
      </c>
      <c r="H17">
        <v>2009</v>
      </c>
      <c r="I17" t="s">
        <v>18</v>
      </c>
      <c r="J17" t="s">
        <v>16</v>
      </c>
      <c r="K17" s="4">
        <v>74800000</v>
      </c>
      <c r="M17" s="166" t="s">
        <v>0</v>
      </c>
      <c r="N17" s="172" t="s">
        <v>43</v>
      </c>
      <c r="O17" s="167" t="s">
        <v>45</v>
      </c>
      <c r="P17" s="167" t="s">
        <v>46</v>
      </c>
      <c r="Q17" s="167" t="s">
        <v>42</v>
      </c>
      <c r="R17" s="168" t="s">
        <v>44</v>
      </c>
      <c r="S17" s="171" t="s">
        <v>47</v>
      </c>
      <c r="T17" s="140"/>
      <c r="U17" s="140"/>
    </row>
    <row r="18" spans="1:21" x14ac:dyDescent="0.3">
      <c r="A18">
        <v>2009</v>
      </c>
      <c r="B18" t="s">
        <v>17</v>
      </c>
      <c r="C18" t="s">
        <v>16</v>
      </c>
      <c r="D18" s="4">
        <v>77280000</v>
      </c>
      <c r="H18">
        <v>2009</v>
      </c>
      <c r="I18" t="s">
        <v>19</v>
      </c>
      <c r="J18" t="s">
        <v>16</v>
      </c>
      <c r="K18" s="4">
        <v>61250000</v>
      </c>
      <c r="M18" s="139">
        <v>2007</v>
      </c>
      <c r="N18" s="273">
        <f>O5/1000000</f>
        <v>283.8</v>
      </c>
      <c r="O18" s="234">
        <f>Q5/1000000</f>
        <v>98</v>
      </c>
      <c r="P18" s="234">
        <f>R5/1000000</f>
        <v>140.6</v>
      </c>
      <c r="Q18" s="234">
        <f>N5/1000000</f>
        <v>92.98</v>
      </c>
      <c r="R18" s="230">
        <f>P5/1000000</f>
        <v>84.28</v>
      </c>
      <c r="S18" s="230">
        <f>SUM(N18:R18)</f>
        <v>699.66</v>
      </c>
      <c r="T18" s="140"/>
      <c r="U18" s="140"/>
    </row>
    <row r="19" spans="1:21" x14ac:dyDescent="0.3">
      <c r="A19">
        <v>2009</v>
      </c>
      <c r="B19" t="s">
        <v>18</v>
      </c>
      <c r="C19" t="s">
        <v>16</v>
      </c>
      <c r="D19" s="4">
        <v>74800000</v>
      </c>
      <c r="H19">
        <v>2010</v>
      </c>
      <c r="I19" t="s">
        <v>15</v>
      </c>
      <c r="J19" t="s">
        <v>16</v>
      </c>
      <c r="K19" s="4">
        <v>103350000</v>
      </c>
      <c r="M19" s="139">
        <v>2008</v>
      </c>
      <c r="N19" s="273">
        <f>O6/1000000</f>
        <v>360</v>
      </c>
      <c r="O19" s="234">
        <f>Q6/1000000</f>
        <v>170.2</v>
      </c>
      <c r="P19" s="234">
        <f>R6/1000000</f>
        <v>99</v>
      </c>
      <c r="Q19" s="234">
        <f>N6/1000000</f>
        <v>61.6</v>
      </c>
      <c r="R19" s="230">
        <f>P6/1000000</f>
        <v>73.48</v>
      </c>
      <c r="S19" s="230">
        <f t="shared" ref="S19:S25" si="9">SUM(N19:R19)</f>
        <v>764.28000000000009</v>
      </c>
      <c r="T19" s="140"/>
      <c r="U19" s="140"/>
    </row>
    <row r="20" spans="1:21" x14ac:dyDescent="0.3">
      <c r="A20">
        <v>2009</v>
      </c>
      <c r="B20" t="s">
        <v>19</v>
      </c>
      <c r="C20" t="s">
        <v>16</v>
      </c>
      <c r="D20" s="4">
        <v>61250000</v>
      </c>
      <c r="H20">
        <v>2010</v>
      </c>
      <c r="I20" t="s">
        <v>4</v>
      </c>
      <c r="J20" t="s">
        <v>16</v>
      </c>
      <c r="K20" s="4">
        <v>360000000</v>
      </c>
      <c r="M20" s="139">
        <v>2009</v>
      </c>
      <c r="N20" s="273">
        <f>O7/1000000</f>
        <v>375.9</v>
      </c>
      <c r="O20" s="234">
        <f>Q7/1000000</f>
        <v>74.8</v>
      </c>
      <c r="P20" s="234">
        <f>R7/1000000</f>
        <v>61.25</v>
      </c>
      <c r="Q20" s="234">
        <f>N7/1000000</f>
        <v>101.41</v>
      </c>
      <c r="R20" s="230">
        <f>P7/1000000</f>
        <v>77.28</v>
      </c>
      <c r="S20" s="230">
        <f t="shared" si="9"/>
        <v>690.64</v>
      </c>
      <c r="T20" s="140"/>
      <c r="U20" s="140"/>
    </row>
    <row r="21" spans="1:21" x14ac:dyDescent="0.3">
      <c r="A21" s="88"/>
      <c r="B21" s="88"/>
      <c r="C21" s="88"/>
      <c r="D21" s="89"/>
      <c r="E21" s="4">
        <f>SUM(D16:D20)</f>
        <v>690640000</v>
      </c>
      <c r="F21" s="88"/>
      <c r="H21">
        <v>2010</v>
      </c>
      <c r="I21" t="s">
        <v>17</v>
      </c>
      <c r="J21" t="s">
        <v>16</v>
      </c>
      <c r="K21" s="4">
        <v>64070000</v>
      </c>
      <c r="M21" s="139">
        <v>2010</v>
      </c>
      <c r="N21" s="273">
        <f>O8/1000000</f>
        <v>360</v>
      </c>
      <c r="O21" s="234">
        <f>Q8/1000000</f>
        <v>119.35</v>
      </c>
      <c r="P21" s="234">
        <f>R8/1000000</f>
        <v>123.75</v>
      </c>
      <c r="Q21" s="234">
        <f>N8/1000000</f>
        <v>103.35</v>
      </c>
      <c r="R21" s="230">
        <f>P8/1000000</f>
        <v>64.069999999999993</v>
      </c>
      <c r="S21" s="230">
        <f t="shared" si="9"/>
        <v>770.52</v>
      </c>
      <c r="T21" s="140"/>
      <c r="U21" s="140"/>
    </row>
    <row r="22" spans="1:21" x14ac:dyDescent="0.3">
      <c r="A22">
        <v>2010</v>
      </c>
      <c r="B22" t="s">
        <v>15</v>
      </c>
      <c r="C22" t="s">
        <v>16</v>
      </c>
      <c r="D22" s="4">
        <v>103350000</v>
      </c>
      <c r="H22">
        <v>2010</v>
      </c>
      <c r="I22" t="s">
        <v>18</v>
      </c>
      <c r="J22" t="s">
        <v>16</v>
      </c>
      <c r="K22" s="4">
        <v>119350000</v>
      </c>
      <c r="M22" s="139">
        <v>2011</v>
      </c>
      <c r="N22" s="273">
        <f>O9/1000000</f>
        <v>278.25</v>
      </c>
      <c r="O22" s="234">
        <f>Q9/1000000</f>
        <v>73.599999999999994</v>
      </c>
      <c r="P22" s="234">
        <f>R9/1000000</f>
        <v>47.5</v>
      </c>
      <c r="Q22" s="234">
        <f>N9/1000000</f>
        <v>77.828000000000003</v>
      </c>
      <c r="R22" s="230">
        <f>P9/1000000</f>
        <v>66.599999999999994</v>
      </c>
      <c r="S22" s="230">
        <f t="shared" si="9"/>
        <v>543.77800000000002</v>
      </c>
      <c r="T22" s="140"/>
      <c r="U22" s="140"/>
    </row>
    <row r="23" spans="1:21" x14ac:dyDescent="0.3">
      <c r="A23">
        <v>2010</v>
      </c>
      <c r="B23" t="s">
        <v>4</v>
      </c>
      <c r="C23" t="s">
        <v>16</v>
      </c>
      <c r="D23" s="4">
        <v>360000000</v>
      </c>
      <c r="H23">
        <v>2010</v>
      </c>
      <c r="I23" t="s">
        <v>19</v>
      </c>
      <c r="J23" t="s">
        <v>16</v>
      </c>
      <c r="K23" s="4">
        <v>123750000</v>
      </c>
      <c r="M23" s="139">
        <v>2012</v>
      </c>
      <c r="N23" s="273">
        <f>O10/1000000</f>
        <v>382.2</v>
      </c>
      <c r="O23" s="234">
        <f>Q10/1000000</f>
        <v>154.80000000000001</v>
      </c>
      <c r="P23" s="234">
        <f>R10/1000000</f>
        <v>95.7</v>
      </c>
      <c r="Q23" s="234">
        <f>N10/1000000</f>
        <v>69.268000000000001</v>
      </c>
      <c r="R23" s="230">
        <f>P10/1000000</f>
        <v>53.3</v>
      </c>
      <c r="S23" s="230">
        <f t="shared" si="9"/>
        <v>755.26800000000003</v>
      </c>
      <c r="T23" s="140"/>
      <c r="U23" s="140"/>
    </row>
    <row r="24" spans="1:21" x14ac:dyDescent="0.3">
      <c r="A24">
        <v>2010</v>
      </c>
      <c r="B24" t="s">
        <v>17</v>
      </c>
      <c r="C24" t="s">
        <v>16</v>
      </c>
      <c r="D24" s="4">
        <v>64070000</v>
      </c>
      <c r="H24">
        <v>2011</v>
      </c>
      <c r="I24" t="s">
        <v>15</v>
      </c>
      <c r="J24" t="s">
        <v>16</v>
      </c>
      <c r="K24" s="4">
        <v>77828000</v>
      </c>
      <c r="M24" s="139">
        <v>2013</v>
      </c>
      <c r="N24" s="273">
        <f>O11/1000000</f>
        <v>321.10000000000002</v>
      </c>
      <c r="O24" s="234">
        <f>Q11/1000000</f>
        <v>105.4</v>
      </c>
      <c r="P24" s="234">
        <f>R11/1000000</f>
        <v>68.150000000000006</v>
      </c>
      <c r="Q24" s="234">
        <f>N11/1000000</f>
        <v>41.488</v>
      </c>
      <c r="R24" s="230">
        <f>P11/1000000</f>
        <v>39.9</v>
      </c>
      <c r="S24" s="230">
        <f t="shared" si="9"/>
        <v>576.0379999999999</v>
      </c>
      <c r="T24" s="140"/>
      <c r="U24" s="140"/>
    </row>
    <row r="25" spans="1:21" x14ac:dyDescent="0.3">
      <c r="A25">
        <v>2010</v>
      </c>
      <c r="B25" t="s">
        <v>18</v>
      </c>
      <c r="C25" t="s">
        <v>16</v>
      </c>
      <c r="D25" s="4">
        <v>119350000</v>
      </c>
      <c r="H25">
        <v>2011</v>
      </c>
      <c r="I25" t="s">
        <v>4</v>
      </c>
      <c r="J25" t="s">
        <v>16</v>
      </c>
      <c r="K25" s="4">
        <v>278250000</v>
      </c>
      <c r="M25" s="139">
        <v>2014</v>
      </c>
      <c r="N25" s="273">
        <f>O12/1000000</f>
        <v>246.4</v>
      </c>
      <c r="O25" s="234">
        <f>Q12/1000000</f>
        <v>47.6</v>
      </c>
      <c r="P25" s="234">
        <f>R12/1000000</f>
        <v>67.5</v>
      </c>
      <c r="Q25" s="234">
        <f>N12/1000000</f>
        <v>89.811999999999998</v>
      </c>
      <c r="R25" s="230">
        <f>P12/1000000</f>
        <v>71.05</v>
      </c>
      <c r="S25" s="230">
        <f t="shared" si="9"/>
        <v>522.36199999999997</v>
      </c>
      <c r="T25" s="234"/>
      <c r="U25" s="234"/>
    </row>
    <row r="26" spans="1:21" x14ac:dyDescent="0.3">
      <c r="A26">
        <v>2010</v>
      </c>
      <c r="B26" t="s">
        <v>19</v>
      </c>
      <c r="C26" t="s">
        <v>16</v>
      </c>
      <c r="D26" s="4">
        <v>123750000</v>
      </c>
      <c r="H26">
        <v>2011</v>
      </c>
      <c r="I26" t="s">
        <v>17</v>
      </c>
      <c r="J26" t="s">
        <v>16</v>
      </c>
      <c r="K26" s="4">
        <v>66600000</v>
      </c>
      <c r="M26" s="139">
        <v>2015</v>
      </c>
      <c r="N26" s="273">
        <f>O13/1000000</f>
        <v>321.89999999999998</v>
      </c>
      <c r="O26" s="234">
        <f>Q13/1000000</f>
        <v>98.8</v>
      </c>
      <c r="P26" s="234">
        <f>R13/1000000</f>
        <v>106.5</v>
      </c>
      <c r="Q26" s="234">
        <f>N13/1000000</f>
        <v>81.484999999999999</v>
      </c>
      <c r="R26" s="230">
        <f>P13/1000000</f>
        <v>45.98</v>
      </c>
      <c r="S26" s="230">
        <f t="shared" ref="S26:S27" si="10">SUM(N26:R26)</f>
        <v>654.66500000000008</v>
      </c>
      <c r="T26" s="10"/>
      <c r="U26" s="10"/>
    </row>
    <row r="27" spans="1:21" x14ac:dyDescent="0.3">
      <c r="A27" s="88"/>
      <c r="B27" s="88"/>
      <c r="C27" s="88"/>
      <c r="D27" s="89"/>
      <c r="E27" s="4">
        <f>SUM(D22:D26)</f>
        <v>770520000</v>
      </c>
      <c r="F27" s="88"/>
      <c r="H27">
        <v>2011</v>
      </c>
      <c r="I27" t="s">
        <v>18</v>
      </c>
      <c r="J27" t="s">
        <v>16</v>
      </c>
      <c r="K27" s="4">
        <v>73600000</v>
      </c>
      <c r="M27" s="272">
        <v>2016</v>
      </c>
      <c r="N27" s="273">
        <f>O14/1000000</f>
        <v>467.4</v>
      </c>
      <c r="O27" s="234">
        <f>Q14/1000000</f>
        <v>136.5</v>
      </c>
      <c r="P27" s="234">
        <f>R14/1000000</f>
        <v>89.6</v>
      </c>
      <c r="Q27" s="234">
        <f>N14/1000000</f>
        <v>106</v>
      </c>
      <c r="R27" s="234">
        <f>P14/1000000</f>
        <v>70.739999999999995</v>
      </c>
      <c r="S27" s="236">
        <f t="shared" si="10"/>
        <v>870.24</v>
      </c>
    </row>
    <row r="28" spans="1:21" x14ac:dyDescent="0.3">
      <c r="A28">
        <v>2011</v>
      </c>
      <c r="B28" t="s">
        <v>15</v>
      </c>
      <c r="C28" t="s">
        <v>16</v>
      </c>
      <c r="D28" s="4">
        <v>77828000</v>
      </c>
      <c r="H28">
        <v>2011</v>
      </c>
      <c r="I28" t="s">
        <v>19</v>
      </c>
      <c r="J28" t="s">
        <v>16</v>
      </c>
      <c r="K28" s="4">
        <v>47500000</v>
      </c>
      <c r="M28" s="199">
        <v>2017</v>
      </c>
      <c r="N28" s="274">
        <f>O15/1000000</f>
        <v>281.7</v>
      </c>
      <c r="O28" s="233">
        <f>Q15/1000000</f>
        <v>100.1</v>
      </c>
      <c r="P28" s="233">
        <f>R15/1000000</f>
        <v>71.19502</v>
      </c>
      <c r="Q28" s="233">
        <f>N15/1000000</f>
        <v>69.5</v>
      </c>
      <c r="R28" s="233">
        <f>P15/1000000</f>
        <v>41.8</v>
      </c>
      <c r="S28" s="237">
        <f t="shared" ref="S28" si="11">SUM(N28:R28)</f>
        <v>564.29501999999991</v>
      </c>
    </row>
    <row r="29" spans="1:21" x14ac:dyDescent="0.3">
      <c r="A29">
        <v>2011</v>
      </c>
      <c r="B29" t="s">
        <v>4</v>
      </c>
      <c r="C29" t="s">
        <v>16</v>
      </c>
      <c r="D29" s="4">
        <v>278250000</v>
      </c>
      <c r="H29">
        <v>2012</v>
      </c>
      <c r="I29" t="s">
        <v>15</v>
      </c>
      <c r="J29" t="s">
        <v>16</v>
      </c>
      <c r="K29" s="4">
        <v>69268000</v>
      </c>
    </row>
    <row r="30" spans="1:21" x14ac:dyDescent="0.3">
      <c r="A30">
        <v>2011</v>
      </c>
      <c r="B30" t="s">
        <v>17</v>
      </c>
      <c r="C30" t="s">
        <v>16</v>
      </c>
      <c r="D30" s="4">
        <v>66600000</v>
      </c>
      <c r="H30">
        <v>2012</v>
      </c>
      <c r="I30" t="s">
        <v>4</v>
      </c>
      <c r="J30" t="s">
        <v>16</v>
      </c>
      <c r="K30" s="4">
        <v>382200000</v>
      </c>
    </row>
    <row r="31" spans="1:21" x14ac:dyDescent="0.3">
      <c r="A31">
        <v>2011</v>
      </c>
      <c r="B31" t="s">
        <v>18</v>
      </c>
      <c r="C31" t="s">
        <v>16</v>
      </c>
      <c r="D31" s="4">
        <v>73600000</v>
      </c>
      <c r="H31">
        <v>2012</v>
      </c>
      <c r="I31" t="s">
        <v>17</v>
      </c>
      <c r="J31" t="s">
        <v>16</v>
      </c>
      <c r="K31" s="4">
        <v>53300000</v>
      </c>
    </row>
    <row r="32" spans="1:21" x14ac:dyDescent="0.3">
      <c r="A32">
        <v>2011</v>
      </c>
      <c r="B32" t="s">
        <v>19</v>
      </c>
      <c r="C32" t="s">
        <v>16</v>
      </c>
      <c r="D32" s="4">
        <v>47500000</v>
      </c>
      <c r="H32">
        <v>2012</v>
      </c>
      <c r="I32" t="s">
        <v>18</v>
      </c>
      <c r="J32" t="s">
        <v>16</v>
      </c>
      <c r="K32" s="4">
        <v>154800000</v>
      </c>
    </row>
    <row r="33" spans="1:21" x14ac:dyDescent="0.3">
      <c r="A33" s="88"/>
      <c r="B33" s="88"/>
      <c r="C33" s="88"/>
      <c r="D33" s="89"/>
      <c r="E33" s="4">
        <f>SUM(D28:D32)</f>
        <v>543778000</v>
      </c>
      <c r="F33" s="88"/>
      <c r="H33">
        <v>2012</v>
      </c>
      <c r="I33" t="s">
        <v>19</v>
      </c>
      <c r="J33" t="s">
        <v>16</v>
      </c>
      <c r="K33" s="4">
        <v>95700000</v>
      </c>
    </row>
    <row r="34" spans="1:21" x14ac:dyDescent="0.3">
      <c r="A34">
        <v>2012</v>
      </c>
      <c r="B34" t="s">
        <v>15</v>
      </c>
      <c r="C34" t="s">
        <v>16</v>
      </c>
      <c r="D34" s="4">
        <v>69268000</v>
      </c>
      <c r="H34">
        <v>2013</v>
      </c>
      <c r="I34" t="s">
        <v>15</v>
      </c>
      <c r="J34" t="s">
        <v>16</v>
      </c>
      <c r="K34" s="4">
        <v>41488000</v>
      </c>
    </row>
    <row r="35" spans="1:21" x14ac:dyDescent="0.3">
      <c r="A35">
        <v>2012</v>
      </c>
      <c r="B35" t="s">
        <v>4</v>
      </c>
      <c r="C35" t="s">
        <v>16</v>
      </c>
      <c r="D35" s="4">
        <v>382200000</v>
      </c>
      <c r="H35">
        <v>2013</v>
      </c>
      <c r="I35" t="s">
        <v>4</v>
      </c>
      <c r="J35" t="s">
        <v>16</v>
      </c>
      <c r="K35" s="4">
        <v>321100000</v>
      </c>
    </row>
    <row r="36" spans="1:21" x14ac:dyDescent="0.3">
      <c r="A36">
        <v>2012</v>
      </c>
      <c r="B36" t="s">
        <v>17</v>
      </c>
      <c r="C36" t="s">
        <v>16</v>
      </c>
      <c r="D36" s="4">
        <v>53300000</v>
      </c>
      <c r="H36">
        <v>2013</v>
      </c>
      <c r="I36" t="s">
        <v>17</v>
      </c>
      <c r="J36" t="s">
        <v>16</v>
      </c>
      <c r="K36" s="4">
        <v>39900000</v>
      </c>
    </row>
    <row r="37" spans="1:21" x14ac:dyDescent="0.3">
      <c r="A37">
        <v>2012</v>
      </c>
      <c r="B37" t="s">
        <v>18</v>
      </c>
      <c r="C37" t="s">
        <v>16</v>
      </c>
      <c r="D37" s="4">
        <v>154800000</v>
      </c>
      <c r="H37">
        <v>2013</v>
      </c>
      <c r="I37" t="s">
        <v>18</v>
      </c>
      <c r="J37" t="s">
        <v>16</v>
      </c>
      <c r="K37" s="4">
        <v>105400000</v>
      </c>
    </row>
    <row r="38" spans="1:21" x14ac:dyDescent="0.3">
      <c r="A38">
        <v>2012</v>
      </c>
      <c r="B38" t="s">
        <v>19</v>
      </c>
      <c r="C38" t="s">
        <v>16</v>
      </c>
      <c r="D38" s="4">
        <v>95700000</v>
      </c>
      <c r="H38">
        <v>2013</v>
      </c>
      <c r="I38" t="s">
        <v>19</v>
      </c>
      <c r="J38" t="s">
        <v>16</v>
      </c>
      <c r="K38" s="4">
        <v>68150000</v>
      </c>
    </row>
    <row r="39" spans="1:21" x14ac:dyDescent="0.3">
      <c r="A39" s="88"/>
      <c r="B39" s="88"/>
      <c r="C39" s="88"/>
      <c r="D39" s="89"/>
      <c r="E39" s="4">
        <f>SUM(D34:D38)</f>
        <v>755268000</v>
      </c>
      <c r="F39" s="88"/>
      <c r="H39">
        <v>2014</v>
      </c>
      <c r="I39" t="s">
        <v>15</v>
      </c>
      <c r="J39" t="s">
        <v>16</v>
      </c>
      <c r="K39" s="4">
        <v>89812000</v>
      </c>
    </row>
    <row r="40" spans="1:21" x14ac:dyDescent="0.3">
      <c r="A40">
        <v>2013</v>
      </c>
      <c r="B40" t="s">
        <v>15</v>
      </c>
      <c r="C40" t="s">
        <v>16</v>
      </c>
      <c r="D40" s="4">
        <v>41488000</v>
      </c>
      <c r="H40">
        <v>2014</v>
      </c>
      <c r="I40" t="s">
        <v>4</v>
      </c>
      <c r="J40" t="s">
        <v>16</v>
      </c>
      <c r="K40" s="4">
        <v>246400000</v>
      </c>
    </row>
    <row r="41" spans="1:21" x14ac:dyDescent="0.3">
      <c r="A41">
        <v>2013</v>
      </c>
      <c r="B41" t="s">
        <v>4</v>
      </c>
      <c r="C41" t="s">
        <v>16</v>
      </c>
      <c r="D41" s="4">
        <v>321100000</v>
      </c>
      <c r="H41">
        <v>2014</v>
      </c>
      <c r="I41" t="s">
        <v>17</v>
      </c>
      <c r="J41" t="s">
        <v>16</v>
      </c>
      <c r="K41" s="4">
        <v>71050000</v>
      </c>
    </row>
    <row r="42" spans="1:21" x14ac:dyDescent="0.3">
      <c r="A42">
        <v>2013</v>
      </c>
      <c r="B42" t="s">
        <v>17</v>
      </c>
      <c r="C42" t="s">
        <v>16</v>
      </c>
      <c r="D42" s="4">
        <v>39900000</v>
      </c>
      <c r="H42">
        <v>2014</v>
      </c>
      <c r="I42" t="s">
        <v>18</v>
      </c>
      <c r="J42" t="s">
        <v>16</v>
      </c>
      <c r="K42" s="4">
        <v>47600000</v>
      </c>
    </row>
    <row r="43" spans="1:21" x14ac:dyDescent="0.3">
      <c r="A43">
        <v>2013</v>
      </c>
      <c r="B43" t="s">
        <v>18</v>
      </c>
      <c r="C43" t="s">
        <v>16</v>
      </c>
      <c r="D43" s="4">
        <v>105400000</v>
      </c>
      <c r="H43">
        <v>2014</v>
      </c>
      <c r="I43" t="s">
        <v>19</v>
      </c>
      <c r="J43" t="s">
        <v>16</v>
      </c>
      <c r="K43" s="4">
        <v>67500000</v>
      </c>
    </row>
    <row r="44" spans="1:21" x14ac:dyDescent="0.3">
      <c r="A44" s="10">
        <v>2013</v>
      </c>
      <c r="B44" s="10" t="s">
        <v>19</v>
      </c>
      <c r="C44" s="10" t="s">
        <v>16</v>
      </c>
      <c r="D44" s="4">
        <v>68150000</v>
      </c>
      <c r="H44">
        <v>2015</v>
      </c>
      <c r="I44" t="s">
        <v>15</v>
      </c>
      <c r="J44" t="s">
        <v>16</v>
      </c>
      <c r="K44" s="4">
        <v>81485000</v>
      </c>
    </row>
    <row r="45" spans="1:21" s="96" customFormat="1" x14ac:dyDescent="0.3">
      <c r="A45" s="144"/>
      <c r="B45" s="144"/>
      <c r="C45" s="144"/>
      <c r="D45" s="144"/>
      <c r="E45" s="9">
        <f>SUM(D40:D44)</f>
        <v>576038000</v>
      </c>
      <c r="F45" s="143"/>
      <c r="H45">
        <v>2015</v>
      </c>
      <c r="I45" t="s">
        <v>4</v>
      </c>
      <c r="J45" t="s">
        <v>16</v>
      </c>
      <c r="K45" s="4">
        <v>321900000</v>
      </c>
      <c r="M45"/>
      <c r="N45"/>
      <c r="O45"/>
      <c r="P45"/>
      <c r="Q45"/>
      <c r="R45"/>
      <c r="S45"/>
      <c r="T45"/>
      <c r="U45"/>
    </row>
    <row r="46" spans="1:21" x14ac:dyDescent="0.3">
      <c r="A46">
        <v>2014</v>
      </c>
      <c r="B46" t="s">
        <v>15</v>
      </c>
      <c r="C46" t="s">
        <v>16</v>
      </c>
      <c r="D46" s="4">
        <v>89812000</v>
      </c>
      <c r="H46">
        <v>2015</v>
      </c>
      <c r="I46" t="s">
        <v>17</v>
      </c>
      <c r="J46" t="s">
        <v>16</v>
      </c>
      <c r="K46" s="4">
        <v>45980000</v>
      </c>
      <c r="T46" s="96"/>
      <c r="U46" s="96"/>
    </row>
    <row r="47" spans="1:21" x14ac:dyDescent="0.3">
      <c r="A47">
        <v>2014</v>
      </c>
      <c r="B47" t="s">
        <v>4</v>
      </c>
      <c r="C47" t="s">
        <v>16</v>
      </c>
      <c r="D47" s="4">
        <v>246400000</v>
      </c>
      <c r="H47">
        <v>2015</v>
      </c>
      <c r="I47" t="s">
        <v>18</v>
      </c>
      <c r="J47" t="s">
        <v>16</v>
      </c>
      <c r="K47" s="4">
        <v>98800000</v>
      </c>
      <c r="M47" s="96"/>
      <c r="N47" s="96"/>
      <c r="O47" s="96"/>
      <c r="P47" s="96"/>
      <c r="Q47" s="96"/>
      <c r="R47" s="96"/>
      <c r="S47" s="96"/>
    </row>
    <row r="48" spans="1:21" x14ac:dyDescent="0.3">
      <c r="A48">
        <v>2014</v>
      </c>
      <c r="B48" t="s">
        <v>17</v>
      </c>
      <c r="C48" t="s">
        <v>16</v>
      </c>
      <c r="D48" s="4">
        <v>71050000</v>
      </c>
      <c r="H48">
        <v>2015</v>
      </c>
      <c r="I48" t="s">
        <v>19</v>
      </c>
      <c r="J48" t="s">
        <v>16</v>
      </c>
      <c r="K48" s="4">
        <v>106500000</v>
      </c>
    </row>
    <row r="49" spans="1:11" x14ac:dyDescent="0.3">
      <c r="A49">
        <v>2014</v>
      </c>
      <c r="B49" t="s">
        <v>18</v>
      </c>
      <c r="C49" t="s">
        <v>16</v>
      </c>
      <c r="D49" s="4">
        <v>47600000</v>
      </c>
      <c r="H49">
        <v>2016</v>
      </c>
      <c r="I49" t="s">
        <v>15</v>
      </c>
      <c r="J49" t="s">
        <v>16</v>
      </c>
      <c r="K49" s="4">
        <v>106000000</v>
      </c>
    </row>
    <row r="50" spans="1:11" x14ac:dyDescent="0.3">
      <c r="A50" s="10">
        <v>2014</v>
      </c>
      <c r="B50" s="10" t="s">
        <v>19</v>
      </c>
      <c r="C50" s="10" t="s">
        <v>16</v>
      </c>
      <c r="D50" s="4">
        <v>67500000</v>
      </c>
      <c r="H50">
        <v>2016</v>
      </c>
      <c r="I50" t="s">
        <v>4</v>
      </c>
      <c r="J50" t="s">
        <v>16</v>
      </c>
      <c r="K50" s="4">
        <v>467400000</v>
      </c>
    </row>
    <row r="51" spans="1:11" x14ac:dyDescent="0.3">
      <c r="A51" s="10"/>
      <c r="B51" s="10"/>
      <c r="C51" s="10"/>
      <c r="D51" s="4"/>
      <c r="E51" s="9">
        <f>SUM(D46:D50)</f>
        <v>522362000</v>
      </c>
      <c r="H51">
        <v>2016</v>
      </c>
      <c r="I51" t="s">
        <v>17</v>
      </c>
      <c r="J51" t="s">
        <v>16</v>
      </c>
      <c r="K51" s="4">
        <v>70740000</v>
      </c>
    </row>
    <row r="52" spans="1:11" x14ac:dyDescent="0.3">
      <c r="A52">
        <v>2015</v>
      </c>
      <c r="B52" t="s">
        <v>15</v>
      </c>
      <c r="C52" t="s">
        <v>16</v>
      </c>
      <c r="D52" s="4">
        <v>81485000</v>
      </c>
      <c r="H52">
        <v>2016</v>
      </c>
      <c r="I52" t="s">
        <v>18</v>
      </c>
      <c r="J52" t="s">
        <v>16</v>
      </c>
      <c r="K52" s="4">
        <v>136500000</v>
      </c>
    </row>
    <row r="53" spans="1:11" x14ac:dyDescent="0.3">
      <c r="A53">
        <v>2015</v>
      </c>
      <c r="B53" t="s">
        <v>4</v>
      </c>
      <c r="C53" t="s">
        <v>16</v>
      </c>
      <c r="D53" s="4">
        <v>321900000</v>
      </c>
      <c r="H53">
        <v>2016</v>
      </c>
      <c r="I53" t="s">
        <v>19</v>
      </c>
      <c r="J53" t="s">
        <v>16</v>
      </c>
      <c r="K53" s="4">
        <v>89600000</v>
      </c>
    </row>
    <row r="54" spans="1:11" x14ac:dyDescent="0.3">
      <c r="A54">
        <v>2015</v>
      </c>
      <c r="B54" t="s">
        <v>17</v>
      </c>
      <c r="C54" t="s">
        <v>16</v>
      </c>
      <c r="D54" s="4">
        <v>45980000</v>
      </c>
    </row>
    <row r="55" spans="1:11" x14ac:dyDescent="0.3">
      <c r="A55">
        <v>2015</v>
      </c>
      <c r="B55" t="s">
        <v>18</v>
      </c>
      <c r="C55" t="s">
        <v>16</v>
      </c>
      <c r="D55" s="4">
        <v>98800000</v>
      </c>
    </row>
    <row r="56" spans="1:11" x14ac:dyDescent="0.3">
      <c r="A56" s="10">
        <v>2015</v>
      </c>
      <c r="B56" s="10" t="s">
        <v>19</v>
      </c>
      <c r="C56" s="10" t="s">
        <v>16</v>
      </c>
      <c r="D56" s="4">
        <v>106500000</v>
      </c>
    </row>
    <row r="57" spans="1:11" x14ac:dyDescent="0.3">
      <c r="A57" s="10"/>
      <c r="B57" s="10"/>
      <c r="C57" s="10"/>
      <c r="D57" s="4"/>
      <c r="E57" s="9">
        <f>SUM(D52:D56)</f>
        <v>654665000</v>
      </c>
    </row>
    <row r="58" spans="1:11" x14ac:dyDescent="0.3">
      <c r="A58">
        <v>2016</v>
      </c>
      <c r="B58" t="s">
        <v>15</v>
      </c>
      <c r="C58" t="s">
        <v>16</v>
      </c>
      <c r="D58" s="4">
        <v>106000000</v>
      </c>
      <c r="E58" s="231"/>
    </row>
    <row r="59" spans="1:11" x14ac:dyDescent="0.3">
      <c r="A59">
        <v>2016</v>
      </c>
      <c r="B59" t="s">
        <v>4</v>
      </c>
      <c r="C59" t="s">
        <v>16</v>
      </c>
      <c r="D59" s="4">
        <v>467400000</v>
      </c>
      <c r="E59" s="231"/>
    </row>
    <row r="60" spans="1:11" x14ac:dyDescent="0.3">
      <c r="A60">
        <v>2016</v>
      </c>
      <c r="B60" t="s">
        <v>17</v>
      </c>
      <c r="C60" t="s">
        <v>16</v>
      </c>
      <c r="D60" s="4">
        <v>70740000</v>
      </c>
      <c r="E60" s="231"/>
    </row>
    <row r="61" spans="1:11" x14ac:dyDescent="0.3">
      <c r="A61">
        <v>2016</v>
      </c>
      <c r="B61" t="s">
        <v>18</v>
      </c>
      <c r="C61" t="s">
        <v>16</v>
      </c>
      <c r="D61" s="4">
        <v>136500000</v>
      </c>
      <c r="E61" s="231"/>
    </row>
    <row r="62" spans="1:11" x14ac:dyDescent="0.3">
      <c r="A62" s="10">
        <v>2016</v>
      </c>
      <c r="B62" s="10" t="s">
        <v>19</v>
      </c>
      <c r="C62" s="10" t="s">
        <v>16</v>
      </c>
      <c r="D62" s="4">
        <v>89600000</v>
      </c>
      <c r="E62" s="232"/>
      <c r="F62" s="92"/>
    </row>
    <row r="63" spans="1:11" x14ac:dyDescent="0.3">
      <c r="C63" s="92" t="s">
        <v>98</v>
      </c>
      <c r="E63" s="4">
        <f>SUM(D58:D62)</f>
        <v>870240000</v>
      </c>
      <c r="F63" t="s">
        <v>96</v>
      </c>
    </row>
    <row r="65" spans="1:6" x14ac:dyDescent="0.3">
      <c r="A65">
        <v>2017</v>
      </c>
      <c r="B65" t="s">
        <v>15</v>
      </c>
      <c r="C65" t="s">
        <v>16</v>
      </c>
      <c r="D65" s="4">
        <v>69500000</v>
      </c>
      <c r="E65" s="231" t="s">
        <v>34</v>
      </c>
    </row>
    <row r="66" spans="1:6" x14ac:dyDescent="0.3">
      <c r="A66">
        <v>2017</v>
      </c>
      <c r="B66" t="s">
        <v>4</v>
      </c>
      <c r="C66" t="s">
        <v>16</v>
      </c>
      <c r="D66" s="4">
        <v>281700000</v>
      </c>
      <c r="E66" s="231" t="s">
        <v>34</v>
      </c>
    </row>
    <row r="67" spans="1:6" x14ac:dyDescent="0.3">
      <c r="A67">
        <v>2017</v>
      </c>
      <c r="B67" t="s">
        <v>17</v>
      </c>
      <c r="C67" t="s">
        <v>16</v>
      </c>
      <c r="D67" s="4">
        <v>41800000</v>
      </c>
      <c r="E67" s="231" t="s">
        <v>34</v>
      </c>
    </row>
    <row r="68" spans="1:6" x14ac:dyDescent="0.3">
      <c r="A68">
        <v>2017</v>
      </c>
      <c r="B68" t="s">
        <v>18</v>
      </c>
      <c r="C68" t="s">
        <v>16</v>
      </c>
      <c r="D68" s="4">
        <v>100100000</v>
      </c>
      <c r="E68" s="231" t="s">
        <v>99</v>
      </c>
    </row>
    <row r="69" spans="1:6" x14ac:dyDescent="0.3">
      <c r="A69" s="10">
        <v>2017</v>
      </c>
      <c r="B69" s="10" t="s">
        <v>19</v>
      </c>
      <c r="C69" s="10" t="s">
        <v>16</v>
      </c>
      <c r="D69" s="277">
        <v>71195019.890710384</v>
      </c>
      <c r="E69" s="232" t="s">
        <v>97</v>
      </c>
      <c r="F69" s="92" t="s">
        <v>119</v>
      </c>
    </row>
    <row r="70" spans="1:6" x14ac:dyDescent="0.3">
      <c r="C70" s="92" t="s">
        <v>112</v>
      </c>
      <c r="E70" s="317">
        <f>SUM(D65:D69)</f>
        <v>564295019.89071035</v>
      </c>
      <c r="F70" t="s">
        <v>122</v>
      </c>
    </row>
    <row r="72" spans="1:6" x14ac:dyDescent="0.3">
      <c r="A72" s="6"/>
      <c r="B72" s="6"/>
      <c r="C72" s="6"/>
      <c r="D72" s="7"/>
      <c r="E72" s="7"/>
      <c r="F72" s="88"/>
    </row>
    <row r="73" spans="1:6" x14ac:dyDescent="0.3">
      <c r="A73" s="149" t="s">
        <v>109</v>
      </c>
      <c r="B73" s="19"/>
      <c r="C73" s="19"/>
      <c r="D73" s="18"/>
      <c r="E73" s="18"/>
    </row>
    <row r="74" spans="1:6" x14ac:dyDescent="0.3">
      <c r="A74" s="145" t="s">
        <v>110</v>
      </c>
      <c r="B74" s="145" t="s">
        <v>15</v>
      </c>
      <c r="C74" s="145" t="s">
        <v>16</v>
      </c>
      <c r="D74" s="146">
        <f>AVERAGE(D4,D10,D16,D22,D28,D34,D40,D46,D52,D58)</f>
        <v>82522100</v>
      </c>
      <c r="E74" s="145"/>
    </row>
    <row r="75" spans="1:6" x14ac:dyDescent="0.3">
      <c r="A75" s="145"/>
      <c r="B75" s="145" t="s">
        <v>4</v>
      </c>
      <c r="C75" s="145" t="s">
        <v>16</v>
      </c>
      <c r="D75" s="146">
        <f>AVERAGE(D5,D11,D17,D23,D29,D35,D41,D47,D53,D59)</f>
        <v>339695000</v>
      </c>
      <c r="E75" s="145"/>
    </row>
    <row r="76" spans="1:6" x14ac:dyDescent="0.3">
      <c r="A76" s="145"/>
      <c r="B76" s="145" t="s">
        <v>17</v>
      </c>
      <c r="C76" s="145" t="s">
        <v>16</v>
      </c>
      <c r="D76" s="146">
        <f>AVERAGE(D6,D12,D18,D24,D30,D36,D42,D48,D54,D60)</f>
        <v>64668000</v>
      </c>
      <c r="E76" s="145"/>
    </row>
    <row r="77" spans="1:6" x14ac:dyDescent="0.3">
      <c r="A77" s="145"/>
      <c r="B77" s="145" t="s">
        <v>18</v>
      </c>
      <c r="C77" s="145" t="s">
        <v>16</v>
      </c>
      <c r="D77" s="146">
        <f>AVERAGE(D7,D13,D19,D25,D31,D37,D43,D49,D55,D61)</f>
        <v>107905000</v>
      </c>
      <c r="E77" s="145"/>
    </row>
    <row r="78" spans="1:6" x14ac:dyDescent="0.3">
      <c r="A78" s="145"/>
      <c r="B78" s="145" t="s">
        <v>19</v>
      </c>
      <c r="C78" s="145" t="s">
        <v>16</v>
      </c>
      <c r="D78" s="146">
        <f>AVERAGE(D8,D14,D20,D26,D32,D38,D44,D50,D56,D62)</f>
        <v>89955000</v>
      </c>
      <c r="E78" s="146">
        <f>SUM(D74:D78)</f>
        <v>684745100</v>
      </c>
    </row>
    <row r="79" spans="1:6" x14ac:dyDescent="0.3">
      <c r="A79" s="145"/>
      <c r="B79" s="221" t="s">
        <v>113</v>
      </c>
      <c r="C79" s="221"/>
      <c r="D79" s="222"/>
      <c r="E79" s="222">
        <f>AVERAGE(E9,E15,E21,E27,E33,E39,E45,E51,E57,E63)</f>
        <v>684745100</v>
      </c>
    </row>
    <row r="80" spans="1:6" x14ac:dyDescent="0.3">
      <c r="A80" s="147"/>
      <c r="B80" s="147"/>
      <c r="C80" s="147"/>
      <c r="D80" s="147"/>
      <c r="E80" s="147"/>
    </row>
    <row r="81" spans="1:7" x14ac:dyDescent="0.3">
      <c r="A81" s="145" t="s">
        <v>111</v>
      </c>
      <c r="B81" s="145" t="s">
        <v>15</v>
      </c>
      <c r="C81" s="145" t="s">
        <v>16</v>
      </c>
      <c r="D81" s="146">
        <f>MIN(D4,D10,D16,D22,D28,D34,D40,D46,D52,D58)</f>
        <v>41488000</v>
      </c>
      <c r="E81" s="145"/>
    </row>
    <row r="82" spans="1:7" x14ac:dyDescent="0.3">
      <c r="A82" s="145"/>
      <c r="B82" s="145" t="s">
        <v>4</v>
      </c>
      <c r="C82" s="145" t="s">
        <v>16</v>
      </c>
      <c r="D82" s="146">
        <f>MIN(D5,D11,D17,D23,D29,D35,D41,D47,D53,D59)</f>
        <v>246400000</v>
      </c>
      <c r="E82" s="145"/>
    </row>
    <row r="83" spans="1:7" x14ac:dyDescent="0.3">
      <c r="A83" s="145"/>
      <c r="B83" s="145" t="s">
        <v>17</v>
      </c>
      <c r="C83" s="145" t="s">
        <v>16</v>
      </c>
      <c r="D83" s="146">
        <f>MIN(D6,D12,D18,D24,D30,D36,D42,D48,D54,D60)</f>
        <v>39900000</v>
      </c>
      <c r="E83" s="145"/>
    </row>
    <row r="84" spans="1:7" x14ac:dyDescent="0.3">
      <c r="A84" s="145"/>
      <c r="B84" s="145" t="s">
        <v>18</v>
      </c>
      <c r="C84" s="145" t="s">
        <v>16</v>
      </c>
      <c r="D84" s="146">
        <f>MIN(D7,D13,D19,D25,D31,D37,D43,D49,D55,D61)</f>
        <v>47600000</v>
      </c>
      <c r="E84" s="145"/>
    </row>
    <row r="85" spans="1:7" x14ac:dyDescent="0.3">
      <c r="A85" s="19"/>
      <c r="B85" s="19" t="s">
        <v>19</v>
      </c>
      <c r="C85" s="19" t="s">
        <v>16</v>
      </c>
      <c r="D85" s="18">
        <f>MIN(D8,D14,D20,D26,D32,D38,D44,D50,D56,D62)</f>
        <v>47500000</v>
      </c>
      <c r="E85" s="18">
        <f>SUM(D81:D85)</f>
        <v>422888000</v>
      </c>
    </row>
    <row r="86" spans="1:7" x14ac:dyDescent="0.3">
      <c r="A86" s="24"/>
      <c r="B86" s="219" t="s">
        <v>114</v>
      </c>
      <c r="C86" s="219"/>
      <c r="D86" s="220"/>
      <c r="E86" s="220">
        <f>MIN(E9,E15,E21,E27,E33,E39,E45,E51,E57,E63)</f>
        <v>522362000</v>
      </c>
      <c r="F86" s="242">
        <f>E86-E79</f>
        <v>-162383100</v>
      </c>
      <c r="G86" s="223">
        <f>(E86/E79)-1</f>
        <v>-0.2371438656516125</v>
      </c>
    </row>
    <row r="87" spans="1:7" x14ac:dyDescent="0.3">
      <c r="A87" s="148"/>
      <c r="B87" s="148"/>
      <c r="C87" s="148"/>
      <c r="D87" s="148"/>
      <c r="E87" s="148"/>
    </row>
    <row r="88" spans="1:7" x14ac:dyDescent="0.3">
      <c r="A88" s="150" t="s">
        <v>115</v>
      </c>
      <c r="B88" s="31"/>
      <c r="C88" s="31"/>
      <c r="D88" s="31"/>
      <c r="E88" s="31"/>
    </row>
    <row r="89" spans="1:7" x14ac:dyDescent="0.3">
      <c r="A89" s="151" t="s">
        <v>32</v>
      </c>
      <c r="B89" s="151" t="s">
        <v>15</v>
      </c>
      <c r="C89" s="151" t="s">
        <v>16</v>
      </c>
      <c r="D89" s="152">
        <f>AVERAGE(D34,D40,D46,D52,D58)</f>
        <v>77610600</v>
      </c>
      <c r="E89" s="151"/>
    </row>
    <row r="90" spans="1:7" x14ac:dyDescent="0.3">
      <c r="A90" s="151"/>
      <c r="B90" s="151" t="s">
        <v>4</v>
      </c>
      <c r="C90" s="151" t="s">
        <v>16</v>
      </c>
      <c r="D90" s="152">
        <f>AVERAGE(D35,D41,D47,D53,D59)</f>
        <v>347800000</v>
      </c>
      <c r="E90" s="151"/>
    </row>
    <row r="91" spans="1:7" x14ac:dyDescent="0.3">
      <c r="A91" s="151"/>
      <c r="B91" s="151" t="s">
        <v>17</v>
      </c>
      <c r="C91" s="151" t="s">
        <v>16</v>
      </c>
      <c r="D91" s="152">
        <f>AVERAGE(D36,D42,D48,D54,D60)</f>
        <v>56194000</v>
      </c>
      <c r="E91" s="151"/>
    </row>
    <row r="92" spans="1:7" x14ac:dyDescent="0.3">
      <c r="A92" s="151"/>
      <c r="B92" s="151" t="s">
        <v>18</v>
      </c>
      <c r="C92" s="151" t="s">
        <v>16</v>
      </c>
      <c r="D92" s="152">
        <f>AVERAGE(D37,D43,D49,D55,D61)</f>
        <v>108620000</v>
      </c>
      <c r="E92" s="151"/>
    </row>
    <row r="93" spans="1:7" x14ac:dyDescent="0.3">
      <c r="A93" s="151"/>
      <c r="B93" s="151" t="s">
        <v>19</v>
      </c>
      <c r="C93" s="151" t="s">
        <v>16</v>
      </c>
      <c r="D93" s="152">
        <f>AVERAGE(D38,D44,D50,D56,D62)</f>
        <v>85490000</v>
      </c>
      <c r="E93" s="152">
        <f>SUM(D89:D93)</f>
        <v>675714600</v>
      </c>
    </row>
    <row r="94" spans="1:7" x14ac:dyDescent="0.3">
      <c r="A94" s="151"/>
      <c r="B94" s="224" t="s">
        <v>94</v>
      </c>
      <c r="C94" s="224"/>
      <c r="D94" s="225"/>
      <c r="E94" s="225">
        <f>AVERAGE(E39,E45,E51,E57,E63)</f>
        <v>675714600</v>
      </c>
    </row>
    <row r="95" spans="1:7" x14ac:dyDescent="0.3">
      <c r="A95" s="153"/>
      <c r="B95" s="153"/>
      <c r="C95" s="153"/>
      <c r="D95" s="153"/>
      <c r="E95" s="153"/>
    </row>
    <row r="96" spans="1:7" x14ac:dyDescent="0.3">
      <c r="A96" s="151" t="s">
        <v>33</v>
      </c>
      <c r="B96" s="151" t="s">
        <v>15</v>
      </c>
      <c r="C96" s="151" t="s">
        <v>16</v>
      </c>
      <c r="D96" s="152">
        <f>MIN(D34,D40,D46,D52,D58)</f>
        <v>41488000</v>
      </c>
      <c r="E96" s="151"/>
    </row>
    <row r="97" spans="1:7" x14ac:dyDescent="0.3">
      <c r="A97" s="151"/>
      <c r="B97" s="151" t="s">
        <v>4</v>
      </c>
      <c r="C97" s="151" t="s">
        <v>16</v>
      </c>
      <c r="D97" s="152">
        <f>MIN(D35,D41,D47,D53,D59)</f>
        <v>246400000</v>
      </c>
      <c r="E97" s="151"/>
    </row>
    <row r="98" spans="1:7" x14ac:dyDescent="0.3">
      <c r="A98" s="151"/>
      <c r="B98" s="151" t="s">
        <v>17</v>
      </c>
      <c r="C98" s="151" t="s">
        <v>16</v>
      </c>
      <c r="D98" s="152">
        <f>MIN(D36,D42,D48,D54,D60)</f>
        <v>39900000</v>
      </c>
      <c r="E98" s="151"/>
    </row>
    <row r="99" spans="1:7" x14ac:dyDescent="0.3">
      <c r="A99" s="151"/>
      <c r="B99" s="151" t="s">
        <v>18</v>
      </c>
      <c r="C99" s="151" t="s">
        <v>16</v>
      </c>
      <c r="D99" s="152">
        <f>MIN(D37,D43,D49,D55,D61)</f>
        <v>47600000</v>
      </c>
      <c r="E99" s="151"/>
    </row>
    <row r="100" spans="1:7" x14ac:dyDescent="0.3">
      <c r="A100" s="31"/>
      <c r="B100" s="31" t="s">
        <v>19</v>
      </c>
      <c r="C100" s="31" t="s">
        <v>16</v>
      </c>
      <c r="D100" s="28">
        <f>MIN(D38,D44,D50,D56,D62)</f>
        <v>67500000</v>
      </c>
      <c r="E100" s="28">
        <f>SUM(D96:D100)</f>
        <v>442888000</v>
      </c>
    </row>
    <row r="101" spans="1:7" x14ac:dyDescent="0.3">
      <c r="A101" s="154"/>
      <c r="B101" s="226" t="s">
        <v>95</v>
      </c>
      <c r="C101" s="226"/>
      <c r="D101" s="227"/>
      <c r="E101" s="227">
        <f>MIN(E39,E45,E51,E57,E63)</f>
        <v>522362000</v>
      </c>
      <c r="F101" s="242">
        <f>E101-E94</f>
        <v>-153352600</v>
      </c>
      <c r="G101" s="223">
        <f>(E101/E94)-1</f>
        <v>-0.2269487739350311</v>
      </c>
    </row>
  </sheetData>
  <sortState ref="H4:K48">
    <sortCondition ref="H4:H48"/>
    <sortCondition ref="I4:I48"/>
  </sortState>
  <pageMargins left="0.7" right="0.7" top="0.75" bottom="0.75" header="0.3" footer="0.3"/>
  <pageSetup paperSize="9" scale="3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F27" sqref="F27"/>
    </sheetView>
  </sheetViews>
  <sheetFormatPr defaultRowHeight="14.4" x14ac:dyDescent="0.3"/>
  <cols>
    <col min="1" max="1" width="5" bestFit="1" customWidth="1"/>
    <col min="2" max="2" width="6" bestFit="1" customWidth="1"/>
    <col min="3" max="3" width="35.44140625" bestFit="1" customWidth="1"/>
    <col min="4" max="4" width="10.88671875" bestFit="1" customWidth="1"/>
    <col min="5" max="5" width="9.88671875" bestFit="1" customWidth="1"/>
    <col min="6" max="6" width="8.33203125" bestFit="1" customWidth="1"/>
    <col min="7" max="7" width="9.88671875" bestFit="1" customWidth="1"/>
  </cols>
  <sheetData>
    <row r="1" spans="1:7" x14ac:dyDescent="0.3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</row>
    <row r="2" spans="1:7" x14ac:dyDescent="0.3">
      <c r="A2">
        <v>2012</v>
      </c>
      <c r="B2" t="s">
        <v>19</v>
      </c>
      <c r="C2" t="s">
        <v>116</v>
      </c>
      <c r="D2" s="4">
        <v>2900000</v>
      </c>
      <c r="E2" s="223">
        <f>D2/D8</f>
        <v>0.5178571428571429</v>
      </c>
    </row>
    <row r="3" spans="1:7" x14ac:dyDescent="0.3">
      <c r="A3">
        <v>2013</v>
      </c>
      <c r="B3" t="s">
        <v>19</v>
      </c>
      <c r="C3" t="s">
        <v>116</v>
      </c>
      <c r="D3" s="4">
        <v>2350000</v>
      </c>
      <c r="E3" s="223">
        <f t="shared" ref="E3:E6" si="0">D3/D9</f>
        <v>0.37301587301587302</v>
      </c>
    </row>
    <row r="4" spans="1:7" x14ac:dyDescent="0.3">
      <c r="A4">
        <v>2014</v>
      </c>
      <c r="B4" t="s">
        <v>19</v>
      </c>
      <c r="C4" t="s">
        <v>116</v>
      </c>
      <c r="D4" s="4">
        <v>2250000</v>
      </c>
      <c r="E4" s="223">
        <f t="shared" si="0"/>
        <v>0.375</v>
      </c>
    </row>
    <row r="5" spans="1:7" x14ac:dyDescent="0.3">
      <c r="A5">
        <v>2015</v>
      </c>
      <c r="B5" t="s">
        <v>19</v>
      </c>
      <c r="C5" t="s">
        <v>116</v>
      </c>
      <c r="D5" s="4">
        <v>3550000</v>
      </c>
      <c r="E5" s="223">
        <f t="shared" si="0"/>
        <v>0.58196721311475408</v>
      </c>
    </row>
    <row r="6" spans="1:7" x14ac:dyDescent="0.3">
      <c r="A6">
        <v>2016</v>
      </c>
      <c r="B6" t="s">
        <v>19</v>
      </c>
      <c r="C6" t="s">
        <v>116</v>
      </c>
      <c r="D6" s="4">
        <v>2800000</v>
      </c>
      <c r="E6" s="223">
        <f t="shared" si="0"/>
        <v>0.56000000000000005</v>
      </c>
      <c r="F6" s="223">
        <f>AVERAGE(E2:E6)</f>
        <v>0.48156804579755397</v>
      </c>
    </row>
    <row r="7" spans="1:7" x14ac:dyDescent="0.3">
      <c r="D7" s="4"/>
    </row>
    <row r="8" spans="1:7" x14ac:dyDescent="0.3">
      <c r="A8">
        <v>2012</v>
      </c>
      <c r="B8" t="s">
        <v>19</v>
      </c>
      <c r="C8" t="s">
        <v>117</v>
      </c>
      <c r="D8" s="4">
        <v>5600000</v>
      </c>
    </row>
    <row r="9" spans="1:7" x14ac:dyDescent="0.3">
      <c r="A9">
        <v>2013</v>
      </c>
      <c r="B9" t="s">
        <v>19</v>
      </c>
      <c r="C9" t="s">
        <v>117</v>
      </c>
      <c r="D9" s="4">
        <v>6300000</v>
      </c>
    </row>
    <row r="10" spans="1:7" x14ac:dyDescent="0.3">
      <c r="A10">
        <v>2014</v>
      </c>
      <c r="B10" t="s">
        <v>19</v>
      </c>
      <c r="C10" t="s">
        <v>117</v>
      </c>
      <c r="D10" s="4">
        <v>6000000</v>
      </c>
    </row>
    <row r="11" spans="1:7" x14ac:dyDescent="0.3">
      <c r="A11">
        <v>2015</v>
      </c>
      <c r="B11" t="s">
        <v>19</v>
      </c>
      <c r="C11" t="s">
        <v>117</v>
      </c>
      <c r="D11" s="4">
        <v>6100000</v>
      </c>
    </row>
    <row r="12" spans="1:7" x14ac:dyDescent="0.3">
      <c r="A12">
        <v>2016</v>
      </c>
      <c r="B12" t="s">
        <v>19</v>
      </c>
      <c r="C12" t="s">
        <v>117</v>
      </c>
      <c r="D12" s="4">
        <v>5000000</v>
      </c>
    </row>
    <row r="13" spans="1:7" x14ac:dyDescent="0.3">
      <c r="A13">
        <v>2017</v>
      </c>
      <c r="B13" t="s">
        <v>19</v>
      </c>
      <c r="C13" t="s">
        <v>117</v>
      </c>
      <c r="D13" s="4">
        <v>4800000</v>
      </c>
      <c r="G13" s="4">
        <f>D13*F6*E19</f>
        <v>71195019.890710384</v>
      </c>
    </row>
    <row r="14" spans="1:7" x14ac:dyDescent="0.3">
      <c r="D14" s="4"/>
    </row>
    <row r="15" spans="1:7" x14ac:dyDescent="0.3">
      <c r="A15">
        <v>2012</v>
      </c>
      <c r="B15" t="s">
        <v>19</v>
      </c>
      <c r="C15" t="s">
        <v>118</v>
      </c>
      <c r="D15">
        <v>33</v>
      </c>
    </row>
    <row r="16" spans="1:7" x14ac:dyDescent="0.3">
      <c r="A16">
        <v>2013</v>
      </c>
      <c r="B16" t="s">
        <v>19</v>
      </c>
      <c r="C16" t="s">
        <v>118</v>
      </c>
      <c r="D16">
        <v>29</v>
      </c>
    </row>
    <row r="17" spans="1:6" x14ac:dyDescent="0.3">
      <c r="A17">
        <v>2014</v>
      </c>
      <c r="B17" t="s">
        <v>19</v>
      </c>
      <c r="C17" t="s">
        <v>118</v>
      </c>
      <c r="D17">
        <v>30</v>
      </c>
    </row>
    <row r="18" spans="1:6" x14ac:dyDescent="0.3">
      <c r="A18">
        <v>2015</v>
      </c>
      <c r="B18" t="s">
        <v>19</v>
      </c>
      <c r="C18" t="s">
        <v>118</v>
      </c>
      <c r="D18">
        <v>30</v>
      </c>
    </row>
    <row r="19" spans="1:6" x14ac:dyDescent="0.3">
      <c r="A19">
        <v>2016</v>
      </c>
      <c r="B19" t="s">
        <v>19</v>
      </c>
      <c r="C19" t="s">
        <v>118</v>
      </c>
      <c r="D19">
        <v>32</v>
      </c>
      <c r="E19">
        <f>AVERAGE(D15:D19)</f>
        <v>30.8</v>
      </c>
    </row>
    <row r="21" spans="1:6" x14ac:dyDescent="0.3">
      <c r="A21">
        <v>2012</v>
      </c>
      <c r="B21" t="s">
        <v>19</v>
      </c>
      <c r="C21" t="s">
        <v>120</v>
      </c>
      <c r="D21" s="4">
        <v>97500000</v>
      </c>
    </row>
    <row r="22" spans="1:6" x14ac:dyDescent="0.3">
      <c r="A22">
        <v>2013</v>
      </c>
      <c r="B22" t="s">
        <v>19</v>
      </c>
      <c r="C22" t="s">
        <v>120</v>
      </c>
      <c r="D22" s="4">
        <v>68150000</v>
      </c>
    </row>
    <row r="23" spans="1:6" x14ac:dyDescent="0.3">
      <c r="A23">
        <v>2014</v>
      </c>
      <c r="B23" t="s">
        <v>19</v>
      </c>
      <c r="C23" t="s">
        <v>120</v>
      </c>
      <c r="D23" s="4">
        <v>67500000</v>
      </c>
    </row>
    <row r="24" spans="1:6" x14ac:dyDescent="0.3">
      <c r="A24">
        <v>2015</v>
      </c>
      <c r="B24" t="s">
        <v>19</v>
      </c>
      <c r="C24" t="s">
        <v>120</v>
      </c>
      <c r="D24" s="4">
        <v>106500000</v>
      </c>
    </row>
    <row r="25" spans="1:6" x14ac:dyDescent="0.3">
      <c r="A25">
        <v>2016</v>
      </c>
      <c r="B25" t="s">
        <v>19</v>
      </c>
      <c r="C25" t="s">
        <v>120</v>
      </c>
      <c r="D25" s="4">
        <v>89600000</v>
      </c>
      <c r="E25" s="4">
        <f>AVERAGE(D21:D25)</f>
        <v>85850000</v>
      </c>
    </row>
    <row r="26" spans="1:6" x14ac:dyDescent="0.3">
      <c r="A26">
        <v>2017</v>
      </c>
      <c r="B26" t="s">
        <v>19</v>
      </c>
      <c r="C26" t="s">
        <v>121</v>
      </c>
      <c r="D26" s="275">
        <f>D13*F6*E19</f>
        <v>71195019.890710384</v>
      </c>
      <c r="E26" s="276">
        <f>D26/D25</f>
        <v>0.79458727556596409</v>
      </c>
      <c r="F26" s="276">
        <f>E26-1</f>
        <v>-0.20541272443403591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KS Wheat Tour_Kansas</vt:lpstr>
      <vt:lpstr>HRW Wheat States 2007-2017</vt:lpstr>
      <vt:lpstr>Texas Calculations</vt:lpstr>
    </vt:vector>
  </TitlesOfParts>
  <Company>K-State Research and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O'Brien</dc:creator>
  <cp:lastModifiedBy>Dan O'Brien</cp:lastModifiedBy>
  <cp:lastPrinted>2015-05-08T21:27:58Z</cp:lastPrinted>
  <dcterms:created xsi:type="dcterms:W3CDTF">2014-05-01T16:11:06Z</dcterms:created>
  <dcterms:modified xsi:type="dcterms:W3CDTF">2017-05-04T19:17:01Z</dcterms:modified>
</cp:coreProperties>
</file>